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400" tabRatio="280" activeTab="0"/>
  </bookViews>
  <sheets>
    <sheet name="Календар" sheetId="1" r:id="rId1"/>
  </sheets>
  <definedNames>
    <definedName name="avans2">#REF!</definedName>
    <definedName name="data2">#REF!</definedName>
    <definedName name="LastFIO" localSheetId="0">'Календар'!#REF!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'Календар'!$B$2:$R$68</definedName>
  </definedNames>
  <calcPr fullCalcOnLoad="1"/>
</workbook>
</file>

<file path=xl/sharedStrings.xml><?xml version="1.0" encoding="utf-8"?>
<sst xmlns="http://schemas.openxmlformats.org/spreadsheetml/2006/main" count="61" uniqueCount="59">
  <si>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</si>
  <si>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</si>
  <si>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</si>
  <si>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</si>
  <si>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</si>
  <si>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</si>
  <si>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</si>
  <si>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</si>
  <si>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</si>
  <si>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</si>
  <si>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</si>
  <si>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</si>
  <si>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</si>
  <si>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</si>
  <si>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</si>
  <si>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</si>
  <si>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</si>
  <si>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</si>
  <si>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</si>
  <si>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</si>
  <si>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</si>
  <si>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</si>
  <si>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</si>
  <si>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</si>
  <si>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</si>
  <si>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</si>
  <si>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</si>
  <si>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</si>
  <si>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</si>
  <si>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</si>
  <si>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</si>
  <si>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</si>
  <si>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</si>
  <si>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</si>
  <si>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</si>
  <si>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</si>
  <si>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</si>
  <si>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</si>
  <si>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</si>
  <si>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</si>
  <si>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</si>
  <si>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</si>
  <si>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</si>
  <si>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</si>
  <si>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</si>
  <si>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</si>
  <si>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</si>
  <si>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</si>
  <si>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</si>
  <si>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</si>
  <si>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</si>
  <si>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</si>
  <si>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</si>
  <si>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</si>
  <si>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</si>
  <si>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</si>
  <si>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</si>
  <si>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>Еко-кредитка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</si>
  <si>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«Еко-кредитка»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</si>
</sst>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#,##0.0000"/>
    <numFmt numFmtId="188" formatCode="0.0000%"/>
    <numFmt numFmtId="189" formatCode="[$-422]d\ mmmm\ yyyy&quot; р.&quot;"/>
    <numFmt numFmtId="190" formatCode="0.00000%"/>
  </numFmts>
  <fonts count="6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sz val="9"/>
      <color indexed="9"/>
      <name val="Arial Cyr"/>
      <family val="2"/>
    </font>
    <font>
      <sz val="8"/>
      <color indexed="22"/>
      <name val="Arial Cyr"/>
      <family val="2"/>
    </font>
    <font>
      <sz val="14"/>
      <color indexed="22"/>
      <name val="Arial Cyr"/>
      <family val="2"/>
    </font>
    <font>
      <sz val="12"/>
      <name val="Calibri"/>
      <family val="2"/>
    </font>
    <font>
      <sz val="12"/>
      <color indexed="9"/>
      <name val="Arial Cyr"/>
      <family val="2"/>
    </font>
    <font>
      <sz val="8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sz val="9"/>
      <color theme="0"/>
      <name val="Arial Cyr"/>
      <family val="2"/>
    </font>
    <font>
      <sz val="8"/>
      <color theme="0" tint="-0.1499900072813034"/>
      <name val="Arial Cyr"/>
      <family val="2"/>
    </font>
    <font>
      <sz val="14"/>
      <color theme="0" tint="-0.1499900072813034"/>
      <name val="Arial Cyr"/>
      <family val="2"/>
    </font>
    <font>
      <sz val="8"/>
      <color theme="1"/>
      <name val="Arial Cyr"/>
      <family val="0"/>
    </font>
    <font>
      <sz val="12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186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6" fontId="3" fillId="0" borderId="13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5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1" fontId="3" fillId="0" borderId="13" xfId="0" applyNumberFormat="1" applyFont="1" applyBorder="1" applyAlignment="1">
      <alignment horizontal="left" vertical="center"/>
    </xf>
    <xf numFmtId="186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6" fontId="3" fillId="0" borderId="0" xfId="0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188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left" vertical="center"/>
      <protection hidden="1"/>
    </xf>
    <xf numFmtId="0" fontId="58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left"/>
    </xf>
    <xf numFmtId="190" fontId="3" fillId="0" borderId="13" xfId="57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7" fontId="59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/>
    </xf>
    <xf numFmtId="14" fontId="59" fillId="0" borderId="0" xfId="0" applyNumberFormat="1" applyFont="1" applyAlignment="1">
      <alignment/>
    </xf>
    <xf numFmtId="49" fontId="59" fillId="0" borderId="11" xfId="0" applyNumberFormat="1" applyFont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187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186" fontId="3" fillId="0" borderId="0" xfId="57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 vertical="center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hidden="1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10" fontId="3" fillId="0" borderId="10" xfId="57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2" fontId="3" fillId="0" borderId="10" xfId="0" applyNumberFormat="1" applyFont="1" applyFill="1" applyBorder="1" applyAlignment="1" applyProtection="1">
      <alignment horizont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hidden="1"/>
    </xf>
    <xf numFmtId="10" fontId="3" fillId="0" borderId="10" xfId="57" applyNumberFormat="1" applyFont="1" applyBorder="1" applyAlignment="1" applyProtection="1">
      <alignment horizontal="center"/>
      <protection hidden="1"/>
    </xf>
    <xf numFmtId="4" fontId="3" fillId="0" borderId="1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/>
      <protection hidden="1"/>
    </xf>
    <xf numFmtId="4" fontId="7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14" fontId="3" fillId="0" borderId="10" xfId="0" applyNumberFormat="1" applyFont="1" applyFill="1" applyBorder="1" applyAlignment="1" applyProtection="1">
      <alignment horizontal="center" vertical="center"/>
      <protection hidden="1"/>
    </xf>
    <xf numFmtId="2" fontId="3" fillId="0" borderId="10" xfId="0" applyNumberFormat="1" applyFont="1" applyFill="1" applyBorder="1" applyAlignment="1" applyProtection="1">
      <alignment horizontal="center"/>
      <protection hidden="1"/>
    </xf>
    <xf numFmtId="10" fontId="3" fillId="0" borderId="10" xfId="57" applyNumberFormat="1" applyFont="1" applyFill="1" applyBorder="1" applyAlignment="1" applyProtection="1">
      <alignment horizontal="center"/>
      <protection hidden="1"/>
    </xf>
    <xf numFmtId="4" fontId="61" fillId="0" borderId="1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14" fontId="3" fillId="0" borderId="10" xfId="0" applyNumberFormat="1" applyFont="1" applyFill="1" applyBorder="1" applyAlignment="1" applyProtection="1">
      <alignment horizontal="center" vertical="center"/>
      <protection hidden="1"/>
    </xf>
    <xf numFmtId="185" fontId="61" fillId="0" borderId="10" xfId="60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/>
      <protection hidden="1"/>
    </xf>
    <xf numFmtId="4" fontId="7" fillId="0" borderId="0" xfId="0" applyNumberFormat="1" applyFont="1" applyFill="1" applyAlignment="1" applyProtection="1">
      <alignment/>
      <protection hidden="1"/>
    </xf>
    <xf numFmtId="14" fontId="3" fillId="0" borderId="10" xfId="0" applyNumberFormat="1" applyFont="1" applyFill="1" applyBorder="1" applyAlignment="1" applyProtection="1">
      <alignment horizontal="left" wrapText="1"/>
      <protection hidden="1"/>
    </xf>
    <xf numFmtId="14" fontId="3" fillId="0" borderId="13" xfId="0" applyNumberFormat="1" applyFont="1" applyFill="1" applyBorder="1" applyAlignment="1" applyProtection="1">
      <alignment horizontal="left"/>
      <protection hidden="1"/>
    </xf>
    <xf numFmtId="0" fontId="59" fillId="0" borderId="0" xfId="0" applyFont="1" applyFill="1" applyAlignment="1" applyProtection="1">
      <alignment/>
      <protection hidden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9" fillId="0" borderId="11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</xdr:row>
      <xdr:rowOff>171450</xdr:rowOff>
    </xdr:from>
    <xdr:to>
      <xdr:col>4</xdr:col>
      <xdr:colOff>219075</xdr:colOff>
      <xdr:row>5</xdr:row>
      <xdr:rowOff>123825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0"/>
          <a:ext cx="3238500" cy="73342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68"/>
  <sheetViews>
    <sheetView showGridLines="0" tabSelected="1" zoomScaleSheetLayoutView="97" workbookViewId="0" topLeftCell="A1">
      <selection activeCell="B58" sqref="B58"/>
    </sheetView>
  </sheetViews>
  <sheetFormatPr defaultColWidth="9.125" defaultRowHeight="12.75"/>
  <cols>
    <col min="1" max="1" width="9.125" style="3" customWidth="1"/>
    <col min="2" max="3" width="12.375" style="3" customWidth="1"/>
    <col min="4" max="4" width="14.375" style="3" customWidth="1"/>
    <col min="5" max="5" width="12.125" style="3" customWidth="1"/>
    <col min="6" max="6" width="11.875" style="1" customWidth="1"/>
    <col min="7" max="7" width="15.875" style="1" customWidth="1"/>
    <col min="8" max="8" width="11.50390625" style="1" customWidth="1"/>
    <col min="9" max="9" width="15.00390625" style="1" customWidth="1"/>
    <col min="10" max="10" width="19.375" style="3" customWidth="1"/>
    <col min="11" max="11" width="12.625" style="3" customWidth="1"/>
    <col min="12" max="12" width="15.5039062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625" style="3" customWidth="1"/>
    <col min="17" max="17" width="28.00390625" style="3" customWidth="1"/>
    <col min="18" max="18" width="16.00390625" style="54" customWidth="1"/>
    <col min="19" max="21" width="9.375" style="3" hidden="1" customWidth="1"/>
    <col min="22" max="22" width="9.375" style="3" customWidth="1"/>
    <col min="23" max="24" width="9.125" style="3" customWidth="1"/>
    <col min="25" max="26" width="9.125" style="54" customWidth="1"/>
    <col min="27" max="16384" width="9.125" style="3" customWidth="1"/>
  </cols>
  <sheetData>
    <row r="1" spans="2:26" s="19" customFormat="1" ht="39" customHeight="1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2"/>
      <c r="R1" s="122"/>
      <c r="S1" s="122"/>
      <c r="T1" s="3"/>
      <c r="U1" s="3"/>
      <c r="V1" s="3"/>
      <c r="W1" s="3"/>
      <c r="X1" s="3"/>
      <c r="Y1" s="54"/>
      <c r="Z1" s="54"/>
    </row>
    <row r="2" spans="2:26" s="19" customFormat="1" ht="16.5" customHeight="1">
      <c r="B2" s="19">
        <v>1</v>
      </c>
      <c r="D2" s="19">
        <v>1</v>
      </c>
      <c r="E2" s="19">
        <v>2</v>
      </c>
      <c r="F2" s="28">
        <v>1</v>
      </c>
      <c r="G2" s="28"/>
      <c r="H2" s="28"/>
      <c r="I2" s="28">
        <v>2</v>
      </c>
      <c r="J2" s="19">
        <v>1</v>
      </c>
      <c r="O2" s="30"/>
      <c r="P2" s="30"/>
      <c r="R2" s="55"/>
      <c r="S2" s="3"/>
      <c r="T2" s="3"/>
      <c r="U2" s="3"/>
      <c r="V2" s="3"/>
      <c r="W2" s="3"/>
      <c r="X2" s="3"/>
      <c r="Y2" s="54"/>
      <c r="Z2" s="54"/>
    </row>
    <row r="3" spans="2:26" s="19" customFormat="1" ht="22.5" customHeight="1">
      <c r="B3" s="19" t="str">
        <f>"Домовичок"</f>
        <v>Домовичок</v>
      </c>
      <c r="D3" s="19" t="str">
        <f>"гривня"</f>
        <v>гривня</v>
      </c>
      <c r="E3" s="19" t="str">
        <f>"Торговий POS-термінал"</f>
        <v>Торговий POS-термінал</v>
      </c>
      <c r="F3" s="28" t="s">
        <v>4</v>
      </c>
      <c r="G3" s="28"/>
      <c r="H3" s="28"/>
      <c r="I3" s="29" t="str">
        <f>"Еко-кредитка"</f>
        <v>Еко-кредитка</v>
      </c>
      <c r="J3" s="19" t="str">
        <f>"в кінці строку"</f>
        <v>в кінці строку</v>
      </c>
      <c r="R3" s="55"/>
      <c r="S3" s="3"/>
      <c r="T3" s="3"/>
      <c r="U3" s="3"/>
      <c r="V3" s="3"/>
      <c r="W3" s="3"/>
      <c r="X3" s="3"/>
      <c r="Y3" s="54"/>
      <c r="Z3" s="54"/>
    </row>
    <row r="4" spans="2:26" s="19" customFormat="1" ht="10.5" customHeight="1">
      <c r="B4" s="19" t="s">
        <v>49</v>
      </c>
      <c r="D4" s="19" t="str">
        <f>IF($B$2=3,"долар США","---")</f>
        <v>---</v>
      </c>
      <c r="E4" s="19" t="str">
        <f>"Банкомат АБ «Укргазбанк»"</f>
        <v>Банкомат АБ «Укргазбанк»</v>
      </c>
      <c r="F4" s="28" t="s">
        <v>11</v>
      </c>
      <c r="G4" s="28"/>
      <c r="H4" s="28"/>
      <c r="I4" s="29" t="str">
        <f>"Еко-кредитка"</f>
        <v>Еко-кредитка</v>
      </c>
      <c r="J4" s="19" t="str">
        <f>"зменшення ліміту"</f>
        <v>зменшення ліміту</v>
      </c>
      <c r="O4" s="50"/>
      <c r="P4" s="30"/>
      <c r="R4" s="54"/>
      <c r="S4" s="3"/>
      <c r="T4" s="3"/>
      <c r="U4" s="3"/>
      <c r="V4" s="3"/>
      <c r="W4" s="3"/>
      <c r="X4" s="3"/>
      <c r="Y4" s="54"/>
      <c r="Z4" s="54"/>
    </row>
    <row r="5" spans="2:26" s="19" customFormat="1" ht="12">
      <c r="B5" s="19" t="s">
        <v>57</v>
      </c>
      <c r="D5" s="19" t="str">
        <f>IF($B$2=3,"євро","---")</f>
        <v>---</v>
      </c>
      <c r="F5" s="28"/>
      <c r="G5" s="28"/>
      <c r="H5" s="28"/>
      <c r="I5" s="29"/>
      <c r="J5" s="19" t="str">
        <f>"щомісячна очікувана сума"</f>
        <v>щомісячна очікувана сума</v>
      </c>
      <c r="O5" s="111"/>
      <c r="P5" s="111"/>
      <c r="Q5" s="111"/>
      <c r="R5" s="111"/>
      <c r="S5" s="3"/>
      <c r="T5" s="3"/>
      <c r="U5" s="3"/>
      <c r="V5" s="3"/>
      <c r="W5" s="3"/>
      <c r="X5" s="3"/>
      <c r="Y5" s="54"/>
      <c r="Z5" s="54"/>
    </row>
    <row r="6" spans="2:26" s="19" customFormat="1" ht="12">
      <c r="B6" s="19" t="str">
        <f>"Овердрафт «Кредитна картка»"</f>
        <v>Овердрафт «Кредитна картка»</v>
      </c>
      <c r="F6" s="28"/>
      <c r="G6" s="28"/>
      <c r="H6" s="28"/>
      <c r="I6" s="28"/>
      <c r="O6" s="111"/>
      <c r="P6" s="111"/>
      <c r="Q6" s="111"/>
      <c r="R6" s="111"/>
      <c r="S6" s="3"/>
      <c r="T6" s="3"/>
      <c r="U6" s="3"/>
      <c r="V6" s="3"/>
      <c r="W6" s="3"/>
      <c r="X6" s="3"/>
      <c r="Y6" s="54"/>
      <c r="Z6" s="54"/>
    </row>
    <row r="7" spans="2:26" s="19" customFormat="1" ht="19.5" customHeight="1">
      <c r="B7" s="19" t="str">
        <f>"Програма новий клієнт"</f>
        <v>Програма новий клієнт</v>
      </c>
      <c r="F7" s="28"/>
      <c r="G7" s="28"/>
      <c r="H7" s="28"/>
      <c r="I7" s="28"/>
      <c r="O7" s="130"/>
      <c r="P7" s="130"/>
      <c r="Q7" s="52"/>
      <c r="R7" s="54"/>
      <c r="S7" s="3"/>
      <c r="T7" s="3"/>
      <c r="U7" s="3"/>
      <c r="V7" s="3"/>
      <c r="W7" s="3"/>
      <c r="X7" s="3"/>
      <c r="Y7" s="54"/>
      <c r="Z7" s="54"/>
    </row>
    <row r="8" spans="2:26" s="19" customFormat="1" ht="6" customHeight="1">
      <c r="B8" s="19" t="str">
        <f>"Овердрафт під депозит"</f>
        <v>Овердрафт під депозит</v>
      </c>
      <c r="F8" s="28"/>
      <c r="G8" s="28"/>
      <c r="H8" s="28"/>
      <c r="I8" s="28"/>
      <c r="O8" s="130"/>
      <c r="P8" s="130"/>
      <c r="Q8" s="52"/>
      <c r="R8" s="54"/>
      <c r="S8" s="3"/>
      <c r="T8" s="3"/>
      <c r="U8" s="3"/>
      <c r="V8" s="3"/>
      <c r="W8" s="3"/>
      <c r="X8" s="3"/>
      <c r="Y8" s="54"/>
      <c r="Z8" s="54"/>
    </row>
    <row r="9" spans="2:26" s="19" customFormat="1" ht="6" customHeight="1">
      <c r="B9" s="19" t="str">
        <f>"Овердрафт «Додаткова пенсія»"</f>
        <v>Овердрафт «Додаткова пенсія»</v>
      </c>
      <c r="F9" s="28"/>
      <c r="G9" s="28"/>
      <c r="H9" s="28"/>
      <c r="I9" s="28"/>
      <c r="O9" s="130"/>
      <c r="P9" s="130"/>
      <c r="Q9" s="52"/>
      <c r="R9" s="54"/>
      <c r="S9" s="3"/>
      <c r="T9" s="3"/>
      <c r="U9" s="3"/>
      <c r="V9" s="3"/>
      <c r="W9" s="3"/>
      <c r="X9" s="3"/>
      <c r="Y9" s="54"/>
      <c r="Z9" s="54"/>
    </row>
    <row r="10" spans="2:18" ht="9.75">
      <c r="B10" s="16" t="str">
        <f>"Параметри кредитної програми"</f>
        <v>Параметри кредитної програми</v>
      </c>
      <c r="C10" s="16"/>
      <c r="K10" s="5"/>
      <c r="L10" s="5"/>
      <c r="M10" s="5"/>
      <c r="N10" s="5"/>
      <c r="R10" s="19" t="str">
        <f ca="1">"Курс НБУ на "&amp;TEXT(NOW(),"ДД.ММ.ГГГГ")&amp;" р."</f>
        <v>Курс НБУ на ДД.ММ.ГГГГ р.</v>
      </c>
    </row>
    <row r="11" spans="11:18" ht="3.75" customHeight="1">
      <c r="K11" s="5"/>
      <c r="L11" s="5"/>
      <c r="M11" s="5"/>
      <c r="N11" s="5"/>
      <c r="R11" s="19"/>
    </row>
    <row r="12" spans="2:21" ht="12.75" customHeight="1">
      <c r="B12" s="3" t="str">
        <f>"Програма кредитування:"</f>
        <v>Програма кредитування:</v>
      </c>
      <c r="J12" s="112" t="str">
        <f>"Початкова сума ліміту овердрафту"</f>
        <v>Початкова сума ліміту овердрафту</v>
      </c>
      <c r="K12" s="112"/>
      <c r="L12" s="112"/>
      <c r="N12" s="40"/>
      <c r="O12" s="49">
        <v>10000</v>
      </c>
      <c r="P12" s="3" t="str">
        <f>IF($D$2=2,"доларів США",IF($D$2=3,"євро","грн"))</f>
        <v>грн</v>
      </c>
      <c r="Q12" s="3" t="s">
        <v>3</v>
      </c>
      <c r="R12" s="61"/>
      <c r="U12" s="64">
        <v>0.39</v>
      </c>
    </row>
    <row r="13" spans="10:21" ht="12.75" customHeight="1">
      <c r="J13" s="113" t="str">
        <f>"Максимальний за продуктом ліміт овердрафту"</f>
        <v>Максимальний за продуктом ліміт овердрафту</v>
      </c>
      <c r="K13" s="113"/>
      <c r="L13" s="113"/>
      <c r="N13" s="41"/>
      <c r="O13" s="51">
        <v>300000</v>
      </c>
      <c r="Q13" s="3" t="s">
        <v>5</v>
      </c>
      <c r="R13" s="62"/>
      <c r="U13" s="64"/>
    </row>
    <row r="14" spans="2:21" ht="12.75" customHeight="1">
      <c r="B14" s="3" t="str">
        <f>"Валюта овердрафту:"</f>
        <v>Валюта овердрафту:</v>
      </c>
      <c r="J14" s="113" t="str">
        <f>"Дата кредитного договору:"</f>
        <v>Дата кредитного договору:</v>
      </c>
      <c r="K14" s="113"/>
      <c r="L14" s="113"/>
      <c r="N14" s="41"/>
      <c r="O14" s="25">
        <v>44409</v>
      </c>
      <c r="Q14" s="3" t="s">
        <v>6</v>
      </c>
      <c r="R14" s="61"/>
      <c r="U14" s="46">
        <v>300000</v>
      </c>
    </row>
    <row r="15" spans="10:21" ht="1.5" customHeight="1">
      <c r="J15" s="1"/>
      <c r="K15" s="41"/>
      <c r="L15" s="41"/>
      <c r="M15" s="41"/>
      <c r="N15" s="41"/>
      <c r="O15" s="43"/>
      <c r="R15" s="62"/>
      <c r="U15" s="46">
        <v>500000</v>
      </c>
    </row>
    <row r="16" spans="2:21" ht="12.75" customHeight="1">
      <c r="B16" s="20"/>
      <c r="C16" s="20"/>
      <c r="D16" s="20"/>
      <c r="E16" s="20"/>
      <c r="F16" s="21"/>
      <c r="G16" s="21"/>
      <c r="H16" s="21"/>
      <c r="J16" s="113" t="str">
        <f>"Дата завершення овердрафту:"</f>
        <v>Дата завершення овердрафту:</v>
      </c>
      <c r="K16" s="113"/>
      <c r="L16" s="113"/>
      <c r="N16" s="41"/>
      <c r="O16" s="24">
        <f>IF(DAY($O$14)&gt;25,DATE(YEAR($O$14)+1,MONTH($O$14),DAY(25)),IF(DAY($O$14)=1,DATE(YEAR($O$14)+1,MONTH($O$14-1),DAY(25)),DATE(YEAR($O$14)+1,MONTH($O$14),DAY($O$14)-1)))</f>
        <v>44767</v>
      </c>
      <c r="P16" s="4">
        <f>IF($O$16&lt;=$O$14,"Невідповідність дат","")</f>
      </c>
      <c r="Q16" s="3" t="s">
        <v>10</v>
      </c>
      <c r="R16" s="62" t="str">
        <f ca="1">"Комерційний курс на "&amp;TEXT(NOW(),"ДД.ММ.ГГГГ")&amp;" р."</f>
        <v>Комерційний курс на ДД.ММ.ГГГГ р.</v>
      </c>
      <c r="U16" s="46"/>
    </row>
    <row r="17" spans="10:18" ht="3.75" customHeight="1">
      <c r="J17" s="1"/>
      <c r="K17" s="41"/>
      <c r="L17" s="41"/>
      <c r="M17" s="41"/>
      <c r="N17" s="41"/>
      <c r="O17" s="43"/>
      <c r="R17" s="62"/>
    </row>
    <row r="18" spans="2:18" ht="19.5" customHeight="1">
      <c r="B18" s="133" t="s">
        <v>8</v>
      </c>
      <c r="C18" s="133"/>
      <c r="D18" s="133"/>
      <c r="E18" s="134"/>
      <c r="F18" s="18">
        <v>0</v>
      </c>
      <c r="G18" s="35"/>
      <c r="H18" s="35"/>
      <c r="J18" s="123" t="s">
        <v>7</v>
      </c>
      <c r="K18" s="123"/>
      <c r="L18" s="123"/>
      <c r="N18" s="42"/>
      <c r="O18" s="31">
        <v>12</v>
      </c>
      <c r="P18" s="22">
        <f>IF(DAY($O$14)=1,23,24)</f>
        <v>23</v>
      </c>
      <c r="Q18" s="13"/>
      <c r="R18" s="62"/>
    </row>
    <row r="19" spans="2:18" ht="12.75" customHeight="1">
      <c r="B19" s="3" t="str">
        <f>"Процента ставка за кредитом"</f>
        <v>Процента ставка за кредитом</v>
      </c>
      <c r="F19" s="12">
        <v>0.39</v>
      </c>
      <c r="G19" s="36"/>
      <c r="H19" s="36"/>
      <c r="J19" s="113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113"/>
      <c r="L19" s="113"/>
      <c r="N19" s="41"/>
      <c r="O19" s="17">
        <v>25</v>
      </c>
      <c r="P19" s="3" t="str">
        <f>"числа кожного місяця"</f>
        <v>числа кожного місяця</v>
      </c>
      <c r="R19" s="56"/>
    </row>
    <row r="20" spans="2:18" ht="11.25" customHeight="1">
      <c r="B20" s="3" t="s">
        <v>13</v>
      </c>
      <c r="F20" s="53">
        <v>1E-07</v>
      </c>
      <c r="G20" s="37"/>
      <c r="H20" s="37"/>
      <c r="K20" s="5"/>
      <c r="L20" s="5"/>
      <c r="M20" s="5"/>
      <c r="N20" s="5"/>
      <c r="R20" s="57"/>
    </row>
    <row r="21" spans="2:18" ht="12" customHeight="1">
      <c r="B21" s="3" t="str">
        <f>"Метод розрахунку процентів"</f>
        <v>Метод розрахунку процентів</v>
      </c>
      <c r="F21" s="11" t="str">
        <f>"факт/факт"</f>
        <v>факт/факт</v>
      </c>
      <c r="G21" s="38"/>
      <c r="H21" s="38"/>
      <c r="K21" s="5"/>
      <c r="L21" s="5"/>
      <c r="M21" s="5"/>
      <c r="N21" s="5"/>
      <c r="O21" s="2"/>
      <c r="P21" s="3">
        <f>IF(OR($J$2=3),"гривень","")</f>
      </c>
      <c r="R21" s="56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5"/>
      <c r="L22" s="5"/>
      <c r="M22" s="5"/>
      <c r="N22" s="5"/>
    </row>
    <row r="23" spans="2:27" ht="9" customHeight="1">
      <c r="B23" s="135" t="s">
        <v>58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V23" s="5"/>
      <c r="W23" s="5"/>
      <c r="X23" s="2"/>
      <c r="Y23" s="57"/>
      <c r="Z23" s="57"/>
      <c r="AA23" s="5"/>
    </row>
    <row r="24" spans="2:27" ht="18.75" customHeight="1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V24" s="5"/>
      <c r="W24" s="5"/>
      <c r="X24" s="2"/>
      <c r="Y24" s="57"/>
      <c r="Z24" s="57"/>
      <c r="AA24" s="5"/>
    </row>
    <row r="25" spans="2:27" ht="9.75" customHeight="1">
      <c r="B25" s="3" t="s">
        <v>9</v>
      </c>
      <c r="F25" s="2"/>
      <c r="G25" s="2"/>
      <c r="H25" s="2"/>
      <c r="I25" s="2"/>
      <c r="R25" s="58"/>
      <c r="V25" s="5"/>
      <c r="W25" s="5"/>
      <c r="X25" s="5"/>
      <c r="Y25" s="57"/>
      <c r="Z25" s="57"/>
      <c r="AA25" s="5"/>
    </row>
    <row r="26" spans="2:9" ht="9.75">
      <c r="B26" s="3" t="s">
        <v>12</v>
      </c>
      <c r="F26" s="2"/>
      <c r="G26" s="2"/>
      <c r="H26" s="2"/>
      <c r="I26" s="2"/>
    </row>
    <row r="27" spans="2:18" ht="21.75" customHeight="1">
      <c r="B27" s="129" t="s">
        <v>14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2:17" ht="11.25" customHeight="1">
      <c r="B28" s="136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66">
        <v>0.0299</v>
      </c>
      <c r="P28" s="33"/>
      <c r="Q28" s="32"/>
    </row>
    <row r="29" spans="2:17" ht="24" customHeight="1">
      <c r="B29" s="137" t="s">
        <v>15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34">
        <v>0</v>
      </c>
      <c r="P29" s="33"/>
      <c r="Q29" s="34"/>
    </row>
    <row r="30" spans="2:17" ht="24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34"/>
      <c r="P30" s="33"/>
      <c r="Q30" s="34"/>
    </row>
    <row r="31" spans="1:18" ht="17.25" customHeight="1">
      <c r="A31" s="124" t="s">
        <v>54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20" ht="13.5" customHeight="1">
      <c r="A32" s="106" t="s">
        <v>27</v>
      </c>
      <c r="B32" s="106" t="s">
        <v>33</v>
      </c>
      <c r="C32" s="106" t="s">
        <v>32</v>
      </c>
      <c r="D32" s="125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2" s="131" t="s">
        <v>37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17" t="s">
        <v>52</v>
      </c>
      <c r="R32" s="114" t="s">
        <v>53</v>
      </c>
      <c r="S32" s="65" t="s">
        <v>2</v>
      </c>
      <c r="T32" s="65"/>
    </row>
    <row r="33" spans="1:19" ht="14.25" customHeight="1">
      <c r="A33" s="107"/>
      <c r="B33" s="107"/>
      <c r="C33" s="107"/>
      <c r="D33" s="126"/>
      <c r="E33" s="106" t="s">
        <v>34</v>
      </c>
      <c r="F33" s="125" t="s">
        <v>36</v>
      </c>
      <c r="G33" s="120" t="s">
        <v>55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18"/>
      <c r="R33" s="115"/>
      <c r="S33" s="5"/>
    </row>
    <row r="34" spans="1:19" ht="13.5" customHeight="1">
      <c r="A34" s="107"/>
      <c r="B34" s="107"/>
      <c r="C34" s="107"/>
      <c r="D34" s="126"/>
      <c r="E34" s="107"/>
      <c r="F34" s="126"/>
      <c r="G34" s="109" t="s">
        <v>17</v>
      </c>
      <c r="H34" s="110"/>
      <c r="I34" s="110"/>
      <c r="J34" s="110"/>
      <c r="K34" s="109" t="s">
        <v>19</v>
      </c>
      <c r="L34" s="110"/>
      <c r="M34" s="109" t="s">
        <v>22</v>
      </c>
      <c r="N34" s="110"/>
      <c r="O34" s="110"/>
      <c r="P34" s="110"/>
      <c r="Q34" s="118"/>
      <c r="R34" s="115"/>
      <c r="S34" s="5"/>
    </row>
    <row r="35" spans="1:19" ht="51" customHeight="1">
      <c r="A35" s="108"/>
      <c r="B35" s="108"/>
      <c r="C35" s="108"/>
      <c r="D35" s="127"/>
      <c r="E35" s="108"/>
      <c r="F35" s="127"/>
      <c r="G35" s="47" t="s">
        <v>18</v>
      </c>
      <c r="H35" s="6" t="s">
        <v>0</v>
      </c>
      <c r="I35" s="26" t="s">
        <v>56</v>
      </c>
      <c r="J35" s="44" t="s">
        <v>41</v>
      </c>
      <c r="K35" s="48" t="s">
        <v>20</v>
      </c>
      <c r="L35" s="48" t="s">
        <v>21</v>
      </c>
      <c r="M35" s="45" t="s">
        <v>23</v>
      </c>
      <c r="N35" s="45" t="s">
        <v>24</v>
      </c>
      <c r="O35" s="45" t="s">
        <v>25</v>
      </c>
      <c r="P35" s="39" t="s">
        <v>48</v>
      </c>
      <c r="Q35" s="119"/>
      <c r="R35" s="116"/>
      <c r="S35" s="5"/>
    </row>
    <row r="36" spans="1:18" ht="11.25" customHeight="1">
      <c r="A36" s="100">
        <v>1</v>
      </c>
      <c r="B36" s="100" t="s">
        <v>28</v>
      </c>
      <c r="C36" s="102" t="s">
        <v>29</v>
      </c>
      <c r="D36" s="100" t="s">
        <v>30</v>
      </c>
      <c r="E36" s="102" t="s">
        <v>31</v>
      </c>
      <c r="F36" s="100" t="s">
        <v>35</v>
      </c>
      <c r="G36" s="104" t="s">
        <v>26</v>
      </c>
      <c r="H36" s="104" t="s">
        <v>38</v>
      </c>
      <c r="I36" s="104" t="s">
        <v>39</v>
      </c>
      <c r="J36" s="104" t="s">
        <v>40</v>
      </c>
      <c r="K36" s="104" t="s">
        <v>42</v>
      </c>
      <c r="L36" s="104" t="s">
        <v>43</v>
      </c>
      <c r="M36" s="104" t="s">
        <v>44</v>
      </c>
      <c r="N36" s="104" t="s">
        <v>45</v>
      </c>
      <c r="O36" s="104" t="s">
        <v>46</v>
      </c>
      <c r="P36" s="104" t="s">
        <v>47</v>
      </c>
      <c r="Q36" s="7" t="s">
        <v>50</v>
      </c>
      <c r="R36" s="59" t="s">
        <v>51</v>
      </c>
    </row>
    <row r="37" spans="1:18" ht="11.25" customHeight="1">
      <c r="A37" s="101"/>
      <c r="B37" s="101"/>
      <c r="C37" s="103"/>
      <c r="D37" s="101"/>
      <c r="E37" s="103"/>
      <c r="F37" s="101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8"/>
      <c r="R37" s="60"/>
    </row>
    <row r="38" spans="1:26" s="74" customFormat="1" ht="13.5" customHeight="1">
      <c r="A38" s="67">
        <v>1</v>
      </c>
      <c r="B38" s="68">
        <f>DATE(YEAR($O$14),MONTH($O$14),DAY($O$14))</f>
        <v>44409</v>
      </c>
      <c r="C38" s="69" t="s">
        <v>1</v>
      </c>
      <c r="D38" s="70">
        <f>E38+SUM(G38:P38)</f>
        <v>-9701</v>
      </c>
      <c r="E38" s="71">
        <f>-O12</f>
        <v>-10000</v>
      </c>
      <c r="F38" s="67" t="s">
        <v>1</v>
      </c>
      <c r="G38" s="70">
        <v>0</v>
      </c>
      <c r="H38" s="70">
        <v>0</v>
      </c>
      <c r="I38" s="70">
        <v>0</v>
      </c>
      <c r="J38" s="71">
        <f>E38*O28*(-1)</f>
        <v>299</v>
      </c>
      <c r="K38" s="70">
        <v>0</v>
      </c>
      <c r="L38" s="71">
        <v>0</v>
      </c>
      <c r="M38" s="71">
        <v>0</v>
      </c>
      <c r="N38" s="71">
        <v>0</v>
      </c>
      <c r="O38" s="70" t="s">
        <v>16</v>
      </c>
      <c r="P38" s="71">
        <v>0</v>
      </c>
      <c r="Q38" s="72" t="str">
        <f>IF(OR($B49="Усього",$B49=""),"",IF($S38=0,_XLL.ЧИСТВНДОХ(D37:D$38,B37:B$38,0.2),"Х"))</f>
        <v>Х</v>
      </c>
      <c r="R38" s="72" t="s">
        <v>1</v>
      </c>
      <c r="S38" s="73">
        <f>-E38</f>
        <v>10000</v>
      </c>
      <c r="T38" s="73"/>
      <c r="Y38" s="75"/>
      <c r="Z38" s="75"/>
    </row>
    <row r="39" spans="1:20" s="83" customFormat="1" ht="9.75">
      <c r="A39" s="67">
        <v>2</v>
      </c>
      <c r="B39" s="76">
        <f aca="true" t="shared" si="0" ref="B39:B49">DATE(YEAR(B38),MONTH(B38)+1,DAY($O$19))</f>
        <v>44464</v>
      </c>
      <c r="C39" s="77">
        <f aca="true" t="shared" si="1" ref="C39:C49">B39-B38</f>
        <v>55</v>
      </c>
      <c r="D39" s="70">
        <f>IF($S38=0,SUM(D38:D$39),SUM(E39:P39))</f>
        <v>700.0000000000001</v>
      </c>
      <c r="E39" s="71">
        <f>-E38*7%</f>
        <v>700.0000000000001</v>
      </c>
      <c r="F39" s="78">
        <f>IF(B39-B38&lt;70,0,(S38*($F$19))*((B39-B38)-30)/(DATE(YEAR(B39)+1,1,1)-DATE(YEAR(B39),1,1)))</f>
        <v>0</v>
      </c>
      <c r="G39" s="70">
        <v>0</v>
      </c>
      <c r="H39" s="70">
        <v>0</v>
      </c>
      <c r="I39" s="70">
        <v>0</v>
      </c>
      <c r="J39" s="70">
        <f>IF(OR($B38="Усього",$B38=""),"",IF($S38=0,SUM(J$38:J38),0))</f>
        <v>0</v>
      </c>
      <c r="K39" s="70">
        <v>0</v>
      </c>
      <c r="L39" s="71">
        <v>0</v>
      </c>
      <c r="M39" s="71">
        <v>0</v>
      </c>
      <c r="N39" s="71">
        <v>0</v>
      </c>
      <c r="O39" s="70">
        <f>S38*O29</f>
        <v>0</v>
      </c>
      <c r="P39" s="71">
        <v>0</v>
      </c>
      <c r="Q39" s="79" t="str">
        <f>IF($O$12&lt;=0,0,IF($S38=0,0,"Х"))</f>
        <v>Х</v>
      </c>
      <c r="R39" s="80" t="str">
        <f aca="true" t="shared" si="2" ref="R39:R49">IF(OR($B38="Усього",$B38=""),"",IF($S38=0,SUM(F39:P39),"Х"))</f>
        <v>Х</v>
      </c>
      <c r="S39" s="81">
        <f aca="true" t="shared" si="3" ref="S39:S49">IF($S38=0,"",IF(DATE(YEAR(B38),MONTH(B38)+1,DAY($O$18))&gt;$O$16,0,S38-E39))</f>
        <v>9300</v>
      </c>
      <c r="T39" s="82">
        <f aca="true" t="shared" si="4" ref="T39:T49">IF(AND(B39&lt;=B38,B39&lt;&gt;""),"Невідповідність дат","")</f>
      </c>
    </row>
    <row r="40" spans="1:20" s="83" customFormat="1" ht="9.75">
      <c r="A40" s="67">
        <v>3</v>
      </c>
      <c r="B40" s="76">
        <f t="shared" si="0"/>
        <v>44494</v>
      </c>
      <c r="C40" s="77">
        <f t="shared" si="1"/>
        <v>30</v>
      </c>
      <c r="D40" s="70">
        <f>IF($S39=0,SUM(D39:D$39),SUM(E40:P40))</f>
        <v>651.0000000000001</v>
      </c>
      <c r="E40" s="71">
        <f aca="true" t="shared" si="5" ref="E40:E48">S39*7%</f>
        <v>651.0000000000001</v>
      </c>
      <c r="F40" s="84">
        <v>0</v>
      </c>
      <c r="G40" s="70">
        <v>0</v>
      </c>
      <c r="H40" s="70">
        <v>0</v>
      </c>
      <c r="I40" s="70">
        <v>0</v>
      </c>
      <c r="J40" s="70">
        <f>IF(OR($B39="Усього",$B39=""),"",IF($S39=0,SUM(J$38:J39),0))</f>
        <v>0</v>
      </c>
      <c r="K40" s="70">
        <v>0</v>
      </c>
      <c r="L40" s="71">
        <v>0</v>
      </c>
      <c r="M40" s="71">
        <v>0</v>
      </c>
      <c r="N40" s="71">
        <v>0</v>
      </c>
      <c r="O40" s="70">
        <f>S39*O29</f>
        <v>0</v>
      </c>
      <c r="P40" s="71">
        <v>0</v>
      </c>
      <c r="Q40" s="79" t="str">
        <f>IF(OR($B39="Усього",$B39=""),"",IF($S39=0,_XLL.ЧИСТВНДОХ(D$38:D39,B$38:B39,0.2),"Х"))</f>
        <v>Х</v>
      </c>
      <c r="R40" s="80" t="str">
        <f t="shared" si="2"/>
        <v>Х</v>
      </c>
      <c r="S40" s="81">
        <f t="shared" si="3"/>
        <v>8649</v>
      </c>
      <c r="T40" s="82">
        <f t="shared" si="4"/>
      </c>
    </row>
    <row r="41" spans="1:20" s="83" customFormat="1" ht="9" customHeight="1">
      <c r="A41" s="67">
        <v>4</v>
      </c>
      <c r="B41" s="76">
        <f t="shared" si="0"/>
        <v>44525</v>
      </c>
      <c r="C41" s="77">
        <f t="shared" si="1"/>
        <v>31</v>
      </c>
      <c r="D41" s="70">
        <f>IF($S40=0,SUM(D$39:D40),SUM(E41:P41))</f>
        <v>1555.900602739726</v>
      </c>
      <c r="E41" s="71">
        <f t="shared" si="5"/>
        <v>605.4300000000001</v>
      </c>
      <c r="F41" s="78">
        <f>((E38*-1)*F19/365*C39)+(S39*F19/365*C40)+S40*F19/365*7</f>
        <v>950.470602739726</v>
      </c>
      <c r="G41" s="70">
        <v>0</v>
      </c>
      <c r="H41" s="70">
        <v>0</v>
      </c>
      <c r="I41" s="70">
        <v>0</v>
      </c>
      <c r="J41" s="70">
        <f>IF(OR($B40="Усього",$B40=""),"",IF($S40=0,SUM(J$38:J40),0))</f>
        <v>0</v>
      </c>
      <c r="K41" s="70">
        <v>0</v>
      </c>
      <c r="L41" s="71">
        <v>0</v>
      </c>
      <c r="M41" s="71">
        <v>0</v>
      </c>
      <c r="N41" s="71">
        <v>0</v>
      </c>
      <c r="O41" s="70">
        <f>S40*O29</f>
        <v>0</v>
      </c>
      <c r="P41" s="71">
        <v>0</v>
      </c>
      <c r="Q41" s="79" t="str">
        <f>IF(OR($B40="Усього",$B40=""),"",IF($S40=0,_XLL.ЧИСТВНДОХ(D$38:D40,B$38:B40,0.2),"Х"))</f>
        <v>Х</v>
      </c>
      <c r="R41" s="80" t="str">
        <f t="shared" si="2"/>
        <v>Х</v>
      </c>
      <c r="S41" s="81">
        <f t="shared" si="3"/>
        <v>8043.57</v>
      </c>
      <c r="T41" s="82">
        <f t="shared" si="4"/>
      </c>
    </row>
    <row r="42" spans="1:20" s="83" customFormat="1" ht="9.75">
      <c r="A42" s="67">
        <v>5</v>
      </c>
      <c r="B42" s="76">
        <f t="shared" si="0"/>
        <v>44555</v>
      </c>
      <c r="C42" s="77">
        <f t="shared" si="1"/>
        <v>30</v>
      </c>
      <c r="D42" s="70">
        <f>IF($S41=0,SUM(D$39:D41),SUM(E42:P42))</f>
        <v>820.8848835616438</v>
      </c>
      <c r="E42" s="71">
        <f t="shared" si="5"/>
        <v>563.0499</v>
      </c>
      <c r="F42" s="78">
        <f>IF(OR($B41="Усього",$B41=""),"",IF($S41=0,SUM(F$39:F42),S41*($F$19)*(B42-B41)/(DATE(YEAR(B40)+1,1,1)-DATE(YEAR(B40),1,1))))</f>
        <v>257.8349835616438</v>
      </c>
      <c r="G42" s="70">
        <v>0</v>
      </c>
      <c r="H42" s="70">
        <v>0</v>
      </c>
      <c r="I42" s="70">
        <v>0</v>
      </c>
      <c r="J42" s="70">
        <f>IF(OR($B41="Усього",$B41=""),"",IF($S41=0,SUM(J$38:J41),0))</f>
        <v>0</v>
      </c>
      <c r="K42" s="70">
        <v>0</v>
      </c>
      <c r="L42" s="71">
        <v>0</v>
      </c>
      <c r="M42" s="71">
        <v>0</v>
      </c>
      <c r="N42" s="71">
        <v>0</v>
      </c>
      <c r="O42" s="70">
        <f>S41*O29</f>
        <v>0</v>
      </c>
      <c r="P42" s="71">
        <v>0</v>
      </c>
      <c r="Q42" s="79" t="str">
        <f>IF(OR($B41="Усього",$B41=""),"",IF($S41=0,_XLL.ЧИСТВНДОХ(D$38:D41,B$38:B41,0.2),"Х"))</f>
        <v>Х</v>
      </c>
      <c r="R42" s="80" t="str">
        <f t="shared" si="2"/>
        <v>Х</v>
      </c>
      <c r="S42" s="81">
        <f t="shared" si="3"/>
        <v>7480.5201</v>
      </c>
      <c r="T42" s="82">
        <f t="shared" si="4"/>
      </c>
    </row>
    <row r="43" spans="1:20" s="83" customFormat="1" ht="9.75">
      <c r="A43" s="67">
        <v>6</v>
      </c>
      <c r="B43" s="76">
        <f t="shared" si="0"/>
        <v>44586</v>
      </c>
      <c r="C43" s="77">
        <f t="shared" si="1"/>
        <v>31</v>
      </c>
      <c r="D43" s="70">
        <f>IF($S42=0,SUM(D$39:D42),SUM(E43:P43))</f>
        <v>771.4158262027398</v>
      </c>
      <c r="E43" s="71">
        <f t="shared" si="5"/>
        <v>523.6364070000001</v>
      </c>
      <c r="F43" s="78">
        <f>IF(OR($B42="Усього",$B42=""),"",IF($S42=0,SUM(F$39:F43),S42*($F$19)*(B43-B42)/(DATE(YEAR(B41)+1,1,1)-DATE(YEAR(B41),1,1))))</f>
        <v>247.77941920273972</v>
      </c>
      <c r="G43" s="70">
        <v>0</v>
      </c>
      <c r="H43" s="70">
        <v>0</v>
      </c>
      <c r="I43" s="70">
        <v>0</v>
      </c>
      <c r="J43" s="70">
        <f>IF(OR($B42="Усього",$B42=""),"",IF($S42=0,SUM(J$38:J42),0))</f>
        <v>0</v>
      </c>
      <c r="K43" s="70">
        <v>0</v>
      </c>
      <c r="L43" s="71">
        <v>0</v>
      </c>
      <c r="M43" s="71">
        <v>0</v>
      </c>
      <c r="N43" s="71">
        <v>0</v>
      </c>
      <c r="O43" s="70">
        <f>S42*O29</f>
        <v>0</v>
      </c>
      <c r="P43" s="71">
        <v>0</v>
      </c>
      <c r="Q43" s="79" t="str">
        <f>IF(OR($B42="Усього",$B42=""),"",IF($S42=0,_XLL.ЧИСТВНДОХ(D$38:D42,B$38:B42,0.2),"Х"))</f>
        <v>Х</v>
      </c>
      <c r="R43" s="80" t="str">
        <f t="shared" si="2"/>
        <v>Х</v>
      </c>
      <c r="S43" s="81">
        <f t="shared" si="3"/>
        <v>6956.883693</v>
      </c>
      <c r="T43" s="82">
        <f t="shared" si="4"/>
      </c>
    </row>
    <row r="44" spans="1:21" s="83" customFormat="1" ht="9.75">
      <c r="A44" s="67">
        <v>7</v>
      </c>
      <c r="B44" s="76">
        <f t="shared" si="0"/>
        <v>44617</v>
      </c>
      <c r="C44" s="77">
        <f t="shared" si="1"/>
        <v>31</v>
      </c>
      <c r="D44" s="70">
        <f>IF($S43=0,SUM(D$39:D43),SUM(E44:P44))</f>
        <v>717.416718368548</v>
      </c>
      <c r="E44" s="71">
        <f t="shared" si="5"/>
        <v>486.98185851000005</v>
      </c>
      <c r="F44" s="78">
        <f>IF(OR($B43="Усього",$B43=""),"",IF($S43=0,SUM(F$39:F44),S43*($F$19)*(B44-B43)/(DATE(YEAR(B42)+1,1,1)-DATE(YEAR(B42),1,1))))</f>
        <v>230.43485985854792</v>
      </c>
      <c r="G44" s="70">
        <v>0</v>
      </c>
      <c r="H44" s="70">
        <v>0</v>
      </c>
      <c r="I44" s="70">
        <v>0</v>
      </c>
      <c r="J44" s="70">
        <f>IF(OR($B43="Усього",$B43=""),"",IF($S43=0,SUM(J$38:J43),0))</f>
        <v>0</v>
      </c>
      <c r="K44" s="70">
        <v>0</v>
      </c>
      <c r="L44" s="71">
        <v>0</v>
      </c>
      <c r="M44" s="71">
        <v>0</v>
      </c>
      <c r="N44" s="71">
        <v>0</v>
      </c>
      <c r="O44" s="70">
        <f>S43*O29</f>
        <v>0</v>
      </c>
      <c r="P44" s="71">
        <v>0</v>
      </c>
      <c r="Q44" s="79" t="str">
        <f>IF(OR($B43="Усього",$B43=""),"",IF($S43=0,_XLL.ЧИСТВНДОХ(D$38:D43,B$38:B43,0.2),"Х"))</f>
        <v>Х</v>
      </c>
      <c r="R44" s="80" t="str">
        <f t="shared" si="2"/>
        <v>Х</v>
      </c>
      <c r="S44" s="81">
        <f t="shared" si="3"/>
        <v>6469.90183449</v>
      </c>
      <c r="T44" s="82">
        <f t="shared" si="4"/>
      </c>
      <c r="U44" s="81"/>
    </row>
    <row r="45" spans="1:20" s="83" customFormat="1" ht="9.75">
      <c r="A45" s="67">
        <v>8</v>
      </c>
      <c r="B45" s="76">
        <f t="shared" si="0"/>
        <v>44645</v>
      </c>
      <c r="C45" s="77">
        <f t="shared" si="1"/>
        <v>28</v>
      </c>
      <c r="D45" s="70">
        <f>IF($S44=0,SUM(D$39:D44),SUM(E45:P45))</f>
        <v>646.4584106954803</v>
      </c>
      <c r="E45" s="71">
        <f t="shared" si="5"/>
        <v>452.8931284143</v>
      </c>
      <c r="F45" s="78">
        <f>IF(OR($B44="Усього",$B44=""),"",IF($S44=0,SUM(F$39:F45),S44*($F$19)*(B45-B44)/(DATE(YEAR(B43)+1,1,1)-DATE(YEAR(B43),1,1))))</f>
        <v>193.5652822811803</v>
      </c>
      <c r="G45" s="70">
        <v>0</v>
      </c>
      <c r="H45" s="70">
        <v>0</v>
      </c>
      <c r="I45" s="70">
        <v>0</v>
      </c>
      <c r="J45" s="70">
        <f>IF(OR($B44="Усього",$B44=""),"",IF($S44=0,SUM(J$38:J44),0))</f>
        <v>0</v>
      </c>
      <c r="K45" s="70">
        <v>0</v>
      </c>
      <c r="L45" s="71">
        <v>0</v>
      </c>
      <c r="M45" s="71">
        <v>0</v>
      </c>
      <c r="N45" s="71">
        <v>0</v>
      </c>
      <c r="O45" s="70">
        <f>S44*O29</f>
        <v>0</v>
      </c>
      <c r="P45" s="71">
        <v>0</v>
      </c>
      <c r="Q45" s="79" t="str">
        <f>IF(OR($B44="Усього",$B44=""),"",IF($S44=0,_XLL.ЧИСТВНДОХ(D$38:D44,B$38:B44,0.2),"Х"))</f>
        <v>Х</v>
      </c>
      <c r="R45" s="80" t="str">
        <f t="shared" si="2"/>
        <v>Х</v>
      </c>
      <c r="S45" s="81">
        <f t="shared" si="3"/>
        <v>6017.0087060757</v>
      </c>
      <c r="T45" s="82">
        <f t="shared" si="4"/>
      </c>
    </row>
    <row r="46" spans="1:20" s="83" customFormat="1" ht="9.75">
      <c r="A46" s="67">
        <v>9</v>
      </c>
      <c r="B46" s="76">
        <f t="shared" si="0"/>
        <v>44676</v>
      </c>
      <c r="C46" s="77">
        <f t="shared" si="1"/>
        <v>31</v>
      </c>
      <c r="D46" s="70">
        <f>IF($S45=0,SUM(D$39:D45),SUM(E46:P46))</f>
        <v>620.4937197169571</v>
      </c>
      <c r="E46" s="71">
        <f t="shared" si="5"/>
        <v>421.190609425299</v>
      </c>
      <c r="F46" s="78">
        <f>IF(OR($B45="Усього",$B45=""),"",IF($S45=0,SUM(F$39:F46),S45*($F$19)*(B46-B45)/(DATE(YEAR(B44)+1,1,1)-DATE(YEAR(B44),1,1))))</f>
        <v>199.3031102916581</v>
      </c>
      <c r="G46" s="70">
        <v>0</v>
      </c>
      <c r="H46" s="70">
        <v>0</v>
      </c>
      <c r="I46" s="70">
        <v>0</v>
      </c>
      <c r="J46" s="70">
        <f>IF(OR($B45="Усього",$B45=""),"",IF($S45=0,SUM(J$38:J45),0))</f>
        <v>0</v>
      </c>
      <c r="K46" s="70">
        <v>0</v>
      </c>
      <c r="L46" s="71">
        <v>0</v>
      </c>
      <c r="M46" s="71">
        <v>0</v>
      </c>
      <c r="N46" s="71">
        <v>0</v>
      </c>
      <c r="O46" s="70">
        <f>S45*O29</f>
        <v>0</v>
      </c>
      <c r="P46" s="71">
        <v>0</v>
      </c>
      <c r="Q46" s="79" t="str">
        <f>IF(OR($B45="Усього",$B45=""),"",IF($S45=0,_XLL.ЧИСТВНДОХ(D$38:D45,B$38:B45,0.2),"Х"))</f>
        <v>Х</v>
      </c>
      <c r="R46" s="80" t="str">
        <f t="shared" si="2"/>
        <v>Х</v>
      </c>
      <c r="S46" s="81">
        <f t="shared" si="3"/>
        <v>5595.818096650401</v>
      </c>
      <c r="T46" s="82">
        <f t="shared" si="4"/>
      </c>
    </row>
    <row r="47" spans="1:20" s="83" customFormat="1" ht="9.75">
      <c r="A47" s="67">
        <v>10</v>
      </c>
      <c r="B47" s="76">
        <f t="shared" si="0"/>
        <v>44706</v>
      </c>
      <c r="C47" s="77">
        <f t="shared" si="1"/>
        <v>30</v>
      </c>
      <c r="D47" s="70">
        <f>IF($S46=0,SUM(D$39:D46),SUM(E47:P47))</f>
        <v>571.0800660280204</v>
      </c>
      <c r="E47" s="71">
        <f t="shared" si="5"/>
        <v>391.70726676552806</v>
      </c>
      <c r="F47" s="78">
        <f>IF(OR($B46="Усього",$B46=""),"",IF($S46=0,SUM(F$39:F47),S46*($F$19)*(B47-B46)/(DATE(YEAR(B45)+1,1,1)-DATE(YEAR(B45),1,1))))</f>
        <v>179.37279926249232</v>
      </c>
      <c r="G47" s="70">
        <v>0</v>
      </c>
      <c r="H47" s="70">
        <v>0</v>
      </c>
      <c r="I47" s="70">
        <v>0</v>
      </c>
      <c r="J47" s="70">
        <f>IF(OR($B46="Усього",$B46=""),"",IF($S46=0,SUM(J$38:J46),0))</f>
        <v>0</v>
      </c>
      <c r="K47" s="70">
        <v>0</v>
      </c>
      <c r="L47" s="71">
        <v>0</v>
      </c>
      <c r="M47" s="71">
        <v>0</v>
      </c>
      <c r="N47" s="71">
        <v>0</v>
      </c>
      <c r="O47" s="70">
        <f>S46*O29</f>
        <v>0</v>
      </c>
      <c r="P47" s="71">
        <v>0</v>
      </c>
      <c r="Q47" s="79" t="str">
        <f>IF(OR($B46="Усього",$B46=""),"",IF($S46=0,_XLL.ЧИСТВНДОХ(D$38:D46,B$38:B46,0.2),"Х"))</f>
        <v>Х</v>
      </c>
      <c r="R47" s="80" t="str">
        <f t="shared" si="2"/>
        <v>Х</v>
      </c>
      <c r="S47" s="81">
        <f t="shared" si="3"/>
        <v>5204.110829884872</v>
      </c>
      <c r="T47" s="82">
        <f t="shared" si="4"/>
      </c>
    </row>
    <row r="48" spans="1:20" s="83" customFormat="1" ht="9.75">
      <c r="A48" s="67">
        <v>11</v>
      </c>
      <c r="B48" s="76">
        <f t="shared" si="0"/>
        <v>44737</v>
      </c>
      <c r="C48" s="77">
        <f t="shared" si="1"/>
        <v>31</v>
      </c>
      <c r="D48" s="70">
        <f>IF($S47=0,SUM(D$39:D47),SUM(E48:P48))</f>
        <v>536.6650181831961</v>
      </c>
      <c r="E48" s="71">
        <f t="shared" si="5"/>
        <v>364.2877580919411</v>
      </c>
      <c r="F48" s="78">
        <f>IF(OR($B47="Усього",$B47=""),"",IF($S47=0,SUM(F$39:F48),S47*($F$19)*(B48-B47)/(DATE(YEAR(B46)+1,1,1)-DATE(YEAR(B46),1,1))))</f>
        <v>172.37726009125507</v>
      </c>
      <c r="G48" s="70">
        <v>0</v>
      </c>
      <c r="H48" s="70">
        <v>0</v>
      </c>
      <c r="I48" s="70">
        <v>0</v>
      </c>
      <c r="J48" s="70">
        <f>IF(OR($B47="Усього",$B47=""),"",IF($S47=0,SUM(J$38:J47),0))</f>
        <v>0</v>
      </c>
      <c r="K48" s="70">
        <v>0</v>
      </c>
      <c r="L48" s="71">
        <v>0</v>
      </c>
      <c r="M48" s="71">
        <v>0</v>
      </c>
      <c r="N48" s="71">
        <v>0</v>
      </c>
      <c r="O48" s="70">
        <f>S47*O29</f>
        <v>0</v>
      </c>
      <c r="P48" s="71">
        <v>0</v>
      </c>
      <c r="Q48" s="79" t="str">
        <f>IF(OR($B47="Усього",$B47=""),"",IF($S47=0,_XLL.ЧИСТВНДОХ(D$38:D47,B$38:B47,0.2),"Х"))</f>
        <v>Х</v>
      </c>
      <c r="R48" s="80" t="str">
        <f t="shared" si="2"/>
        <v>Х</v>
      </c>
      <c r="S48" s="81">
        <f t="shared" si="3"/>
        <v>4839.823071792931</v>
      </c>
      <c r="T48" s="82">
        <f t="shared" si="4"/>
      </c>
    </row>
    <row r="49" spans="1:20" s="83" customFormat="1" ht="9.75">
      <c r="A49" s="67">
        <v>12</v>
      </c>
      <c r="B49" s="76">
        <f t="shared" si="0"/>
        <v>44767</v>
      </c>
      <c r="C49" s="77">
        <f t="shared" si="1"/>
        <v>30</v>
      </c>
      <c r="D49" s="70">
        <f>IF($S48=0,SUM(D$39:D48),SUM(E49:P49))</f>
        <v>4994.96260587506</v>
      </c>
      <c r="E49" s="70">
        <f>IF(B49=$O$16,S48,S48*7%)</f>
        <v>4839.823071792931</v>
      </c>
      <c r="F49" s="78">
        <f>IF(OR($B48="Усього",$B48=""),"",IF($S48=0,SUM(F$39:F49),S48*($F$19)*(B49-B48)/(DATE(YEAR(B47)+1,1,1)-DATE(YEAR(B47),1,1))))</f>
        <v>155.13953408212956</v>
      </c>
      <c r="G49" s="70">
        <v>0</v>
      </c>
      <c r="H49" s="70">
        <v>0</v>
      </c>
      <c r="I49" s="70">
        <v>0</v>
      </c>
      <c r="J49" s="70">
        <f>IF(OR($B48="Усього",$B48=""),"",IF($S48=0,SUM(J$38:J48),0))</f>
        <v>0</v>
      </c>
      <c r="K49" s="70">
        <v>0</v>
      </c>
      <c r="L49" s="71">
        <v>0</v>
      </c>
      <c r="M49" s="71">
        <v>0</v>
      </c>
      <c r="N49" s="71">
        <v>0</v>
      </c>
      <c r="O49" s="70">
        <f>S48*O29</f>
        <v>0</v>
      </c>
      <c r="P49" s="71">
        <v>0</v>
      </c>
      <c r="Q49" s="79" t="str">
        <f>IF(OR($B48="Усього",$B48=""),"",IF($S48=0,_XLL.ЧИСТВНДОХ(D$38:D48,B$38:B48,0.2),"Х"))</f>
        <v>Х</v>
      </c>
      <c r="R49" s="80" t="str">
        <f t="shared" si="2"/>
        <v>Х</v>
      </c>
      <c r="S49" s="81">
        <f t="shared" si="3"/>
        <v>0</v>
      </c>
      <c r="T49" s="82">
        <f t="shared" si="4"/>
      </c>
    </row>
    <row r="50" spans="1:26" s="91" customFormat="1" ht="9.75">
      <c r="A50" s="85">
        <f>IF(DAY($O$14)=1,"","13")</f>
      </c>
      <c r="B50" s="85" t="str">
        <f>IF(DAY($O$14)=1,"Усього",O16)</f>
        <v>Усього</v>
      </c>
      <c r="C50" s="86">
        <f>IF(DAY($O$14)=1,"",B50-B49)</f>
      </c>
      <c r="D50" s="84">
        <f>IF($S49=0,SUM(D$39:D49),SUM(E50:P50))</f>
        <v>12586.277851371371</v>
      </c>
      <c r="E50" s="84">
        <f>IF($S49=0,SUM($E$39:$E49),S49)</f>
        <v>10000</v>
      </c>
      <c r="F50" s="84">
        <f>IF($S49=0,SUM(F$39:F49),S49*($F19)*(B50-B49)/(DATE(YEAR(B48)+1,1,1)-DATE(YEAR(B48),1,1)))</f>
        <v>2586.277851371373</v>
      </c>
      <c r="G50" s="84">
        <f>IF(OR($B49="Усього",$B49=""),"",IF($S49=0,SUM(G$38:G49),0))</f>
        <v>0</v>
      </c>
      <c r="H50" s="71">
        <f>SUM(H37:H49)</f>
        <v>0</v>
      </c>
      <c r="I50" s="84">
        <f>IF(OR($B49="Усього",$B49=""),"",IF($S49=0,SUM(I$38:I49),0))</f>
        <v>0</v>
      </c>
      <c r="J50" s="84">
        <f>IF(OR($B49="Усього",$B49=""),"",IF($S49=0,SUM(J$38:J49),0))</f>
        <v>299</v>
      </c>
      <c r="K50" s="84">
        <f>IF(OR($B49="Усього",$B49=""),"",IF($S49=0,SUM(K$38:K49),0))</f>
        <v>0</v>
      </c>
      <c r="L50" s="84">
        <f>IF(OR($B49="Усього",$B49=""),"",IF($S49=0,SUM(L$38:L49),0))</f>
        <v>0</v>
      </c>
      <c r="M50" s="84">
        <f>IF(OR($B49="Усього",$B49=""),"",IF($S49=0,SUM(M$38:M49),0))</f>
        <v>0</v>
      </c>
      <c r="N50" s="84">
        <f>IF(OR($B49="Усього",$B49=""),"",IF($S49=0,SUM(N$38:N49),0))</f>
        <v>0</v>
      </c>
      <c r="O50" s="84">
        <f>IF(OR($B49="Усього",$B49=""),"",IF($S49=0,SUM(O$38:O49),S49*O29))</f>
        <v>0</v>
      </c>
      <c r="P50" s="84">
        <f>IF(OR($B49="Усього",$B49=""),"",IF($S49=0,SUM(P$38:P49),0))</f>
        <v>0</v>
      </c>
      <c r="Q50" s="87">
        <f>IF(OR($B49="Усього",$B49=""),"",IF($S49=0,_XLL.ЧИСТВНДОХ(D$38:D49,B$38:B49,0.2),"Х"))</f>
        <v>0.4800987064838408</v>
      </c>
      <c r="R50" s="88">
        <f>IF(DAY($O$14)=1,SUM(E50:P50),"Х")</f>
        <v>12885.277851371373</v>
      </c>
      <c r="S50" s="89">
        <f>IF($S49=0,"",IF(DATE(YEAR(B49),MONTH(B49)+1,DAY($O$18))&gt;$O$16,0,S49-E50))</f>
      </c>
      <c r="T50" s="89"/>
      <c r="U50" s="90"/>
      <c r="Y50" s="92"/>
      <c r="Z50" s="92"/>
    </row>
    <row r="51" spans="1:26" s="90" customFormat="1" ht="15" customHeight="1">
      <c r="A51" s="69"/>
      <c r="B51" s="93">
        <f>IF(DAY($O$14)=1,"","Усього")</f>
      </c>
      <c r="C51" s="93"/>
      <c r="D51" s="71">
        <f>IF(DAY($O$14)=1,"",SUM(D39:D50))</f>
      </c>
      <c r="E51" s="71">
        <f>IF(DAY($O$14)=1,"",SUM(E39:E50))</f>
      </c>
      <c r="F51" s="71">
        <f>IF(DAY($O$14)=1,"",SUM(F39:F50))</f>
      </c>
      <c r="G51" s="71">
        <f aca="true" t="shared" si="6" ref="G51:P51">IF(DAY($O$14)=1,"",SUM(G38:G50))</f>
      </c>
      <c r="H51" s="71"/>
      <c r="I51" s="71">
        <f t="shared" si="6"/>
      </c>
      <c r="J51" s="71">
        <f>F50+J50</f>
        <v>2885.277851371373</v>
      </c>
      <c r="K51" s="71">
        <f t="shared" si="6"/>
      </c>
      <c r="L51" s="71">
        <f t="shared" si="6"/>
      </c>
      <c r="M51" s="71">
        <f t="shared" si="6"/>
      </c>
      <c r="N51" s="71">
        <f t="shared" si="6"/>
      </c>
      <c r="O51" s="71">
        <f t="shared" si="6"/>
      </c>
      <c r="P51" s="71">
        <f t="shared" si="6"/>
      </c>
      <c r="Q51" s="72">
        <f>IF(OR($B50="Усього",$B50=""),"",IF($S50=0,_XLL.ЧИСТВНДОХ(D$38:D50,B$38:B50,0.2),"Х"))</f>
      </c>
      <c r="R51" s="94">
        <f>IF(OR($B50="Усього",$B50=""),"",IF($S50=0,SUM(E51:P51),"Х"))</f>
      </c>
      <c r="S51" s="95">
        <f>IF(OR(B51="Усього",B51=""),"",IF($S50=0,"",IF(DATE(YEAR(B50),MONTH(B50)+1,DAY($O$18))&gt;$O$16,0,S50-E51)))</f>
      </c>
      <c r="T51" s="96">
        <f>IF(AND(B51&lt;=O16,B51&lt;&gt;""),"Невідповідність дат","")</f>
      </c>
      <c r="V51" s="97" t="e">
        <f>IF(DAY(O14)=1,DATE(YEAR(#REF!),MONTH(#REF!),DAY($O$19)),DATE(YEAR(#REF!),MONTH(#REF!)+1,DAY($O$19)))</f>
        <v>#REF!</v>
      </c>
      <c r="W51" s="98">
        <f>DATE(YEAR($O$14)+2,MONTH($O$14),DAY($O$14)-1)</f>
        <v>45138</v>
      </c>
      <c r="Y51" s="99"/>
      <c r="Z51" s="99"/>
    </row>
    <row r="52" spans="2:21" ht="6.75" customHeight="1">
      <c r="B52" s="9"/>
      <c r="C52" s="9"/>
      <c r="D52" s="9"/>
      <c r="E52" s="9"/>
      <c r="F52" s="10"/>
      <c r="G52" s="10"/>
      <c r="H52" s="10"/>
      <c r="I52" s="10"/>
      <c r="J52" s="9"/>
      <c r="K52" s="9"/>
      <c r="L52" s="9"/>
      <c r="M52" s="9"/>
      <c r="N52" s="9"/>
      <c r="O52" s="9"/>
      <c r="P52" s="9"/>
      <c r="Q52" s="9"/>
      <c r="R52" s="55"/>
      <c r="S52" s="9"/>
      <c r="T52" s="9"/>
      <c r="U52" s="9"/>
    </row>
    <row r="53" spans="6:26" s="9" customFormat="1" ht="0.75" customHeight="1" hidden="1">
      <c r="F53" s="23"/>
      <c r="G53" s="23"/>
      <c r="H53" s="23"/>
      <c r="I53" s="10"/>
      <c r="R53" s="55"/>
      <c r="Y53" s="55"/>
      <c r="Z53" s="55"/>
    </row>
    <row r="54" ht="9.75">
      <c r="E54" s="46"/>
    </row>
    <row r="55" spans="6:26" s="9" customFormat="1" ht="17.25">
      <c r="F55" s="10"/>
      <c r="G55" s="10"/>
      <c r="H55" s="10"/>
      <c r="I55" s="10"/>
      <c r="R55" s="55"/>
      <c r="Y55" s="55"/>
      <c r="Z55" s="55"/>
    </row>
    <row r="56" spans="6:26" s="9" customFormat="1" ht="5.25" customHeight="1">
      <c r="F56" s="10"/>
      <c r="G56" s="10"/>
      <c r="H56" s="10"/>
      <c r="I56" s="10"/>
      <c r="R56" s="55"/>
      <c r="Y56" s="55"/>
      <c r="Z56" s="55"/>
    </row>
    <row r="57" spans="2:26" s="9" customFormat="1" ht="17.25">
      <c r="B57" s="27"/>
      <c r="F57" s="10"/>
      <c r="G57" s="10"/>
      <c r="H57" s="10"/>
      <c r="I57" s="10"/>
      <c r="R57" s="55"/>
      <c r="Y57" s="55"/>
      <c r="Z57" s="55"/>
    </row>
    <row r="58" spans="2:26" s="9" customFormat="1" ht="10.5" customHeight="1">
      <c r="B58" s="27"/>
      <c r="R58" s="55"/>
      <c r="Y58" s="55"/>
      <c r="Z58" s="55"/>
    </row>
    <row r="59" spans="6:26" s="9" customFormat="1" ht="17.25">
      <c r="F59" s="10"/>
      <c r="G59" s="10"/>
      <c r="H59" s="10"/>
      <c r="I59" s="10"/>
      <c r="R59" s="55"/>
      <c r="Y59" s="55"/>
      <c r="Z59" s="55"/>
    </row>
    <row r="60" spans="6:26" s="9" customFormat="1" ht="17.25">
      <c r="F60" s="10"/>
      <c r="G60" s="10"/>
      <c r="H60" s="10"/>
      <c r="I60" s="10"/>
      <c r="R60" s="55"/>
      <c r="Y60" s="55"/>
      <c r="Z60" s="55"/>
    </row>
    <row r="61" spans="6:26" s="9" customFormat="1" ht="17.25">
      <c r="F61" s="10"/>
      <c r="G61" s="10"/>
      <c r="H61" s="10"/>
      <c r="I61" s="10"/>
      <c r="R61" s="55"/>
      <c r="Y61" s="55"/>
      <c r="Z61" s="55"/>
    </row>
    <row r="62" spans="6:26" s="9" customFormat="1" ht="17.25">
      <c r="F62" s="10"/>
      <c r="G62" s="10"/>
      <c r="H62" s="10"/>
      <c r="I62" s="10"/>
      <c r="R62" s="55"/>
      <c r="Y62" s="55"/>
      <c r="Z62" s="55"/>
    </row>
    <row r="63" spans="6:26" s="9" customFormat="1" ht="17.25">
      <c r="F63" s="10"/>
      <c r="G63" s="10"/>
      <c r="H63" s="10"/>
      <c r="I63" s="10"/>
      <c r="R63" s="55"/>
      <c r="Y63" s="55"/>
      <c r="Z63" s="55"/>
    </row>
    <row r="64" spans="6:26" s="9" customFormat="1" ht="17.25">
      <c r="F64" s="10"/>
      <c r="G64" s="10"/>
      <c r="H64" s="10"/>
      <c r="I64" s="10"/>
      <c r="R64" s="55"/>
      <c r="Y64" s="55"/>
      <c r="Z64" s="55"/>
    </row>
    <row r="65" spans="6:26" s="9" customFormat="1" ht="17.25">
      <c r="F65" s="10"/>
      <c r="G65" s="10"/>
      <c r="H65" s="10"/>
      <c r="I65" s="10"/>
      <c r="R65" s="55"/>
      <c r="Y65" s="55"/>
      <c r="Z65" s="55"/>
    </row>
    <row r="66" spans="4:26" s="9" customFormat="1" ht="11.25" customHeight="1">
      <c r="D66" s="15"/>
      <c r="F66" s="14"/>
      <c r="G66" s="14"/>
      <c r="H66" s="14"/>
      <c r="I66" s="10"/>
      <c r="J66" s="3"/>
      <c r="K66" s="3"/>
      <c r="L66" s="3"/>
      <c r="M66" s="3"/>
      <c r="N66" s="3"/>
      <c r="R66" s="55"/>
      <c r="Y66" s="55"/>
      <c r="Z66" s="55"/>
    </row>
    <row r="67" spans="6:26" s="9" customFormat="1" ht="5.25" customHeight="1">
      <c r="F67" s="10"/>
      <c r="G67" s="10"/>
      <c r="H67" s="10"/>
      <c r="I67" s="10"/>
      <c r="R67" s="55"/>
      <c r="Y67" s="55"/>
      <c r="Z67" s="55"/>
    </row>
    <row r="68" spans="6:26" s="9" customFormat="1" ht="17.25" hidden="1">
      <c r="F68" s="10"/>
      <c r="G68" s="10"/>
      <c r="H68" s="10"/>
      <c r="I68" s="10"/>
      <c r="R68" s="55"/>
      <c r="Y68" s="55"/>
      <c r="Z68" s="55"/>
    </row>
  </sheetData>
  <sheetProtection password="EE49" sheet="1" formatCells="0" formatColumns="0" formatRows="0"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P2:IV9 B2:N9" name="Диапазон5"/>
    <protectedRange sqref="B23:R24" name="Диапазон7"/>
    <protectedRange sqref="F10:H22 I10:N11 I15:N15 I17:N17 I20:N22" name="Диапазон9"/>
    <protectedRange sqref="I2:N9" name="Диапазон11"/>
    <protectedRange sqref="B55:O67" name="Диапазон3_1"/>
    <protectedRange sqref="O14" name="Диапазон2_1"/>
  </protectedRanges>
  <mergeCells count="45">
    <mergeCell ref="B32:B35"/>
    <mergeCell ref="B18:E18"/>
    <mergeCell ref="B23:R24"/>
    <mergeCell ref="E33:E35"/>
    <mergeCell ref="F33:F35"/>
    <mergeCell ref="B28:N28"/>
    <mergeCell ref="B29:N29"/>
    <mergeCell ref="Q1:S1"/>
    <mergeCell ref="J18:L18"/>
    <mergeCell ref="J19:L19"/>
    <mergeCell ref="A31:R31"/>
    <mergeCell ref="D32:D35"/>
    <mergeCell ref="B1:P1"/>
    <mergeCell ref="C32:C35"/>
    <mergeCell ref="B27:R27"/>
    <mergeCell ref="O7:P9"/>
    <mergeCell ref="E32:P32"/>
    <mergeCell ref="P36:P37"/>
    <mergeCell ref="K36:K37"/>
    <mergeCell ref="J36:J37"/>
    <mergeCell ref="M36:M37"/>
    <mergeCell ref="G33:P33"/>
    <mergeCell ref="L36:L37"/>
    <mergeCell ref="K34:L34"/>
    <mergeCell ref="M34:P34"/>
    <mergeCell ref="F36:F37"/>
    <mergeCell ref="O5:R6"/>
    <mergeCell ref="J12:L12"/>
    <mergeCell ref="J13:L13"/>
    <mergeCell ref="J14:L14"/>
    <mergeCell ref="J16:L16"/>
    <mergeCell ref="R32:R35"/>
    <mergeCell ref="Q32:Q35"/>
    <mergeCell ref="N36:N37"/>
    <mergeCell ref="O36:O37"/>
    <mergeCell ref="A36:A37"/>
    <mergeCell ref="C36:C37"/>
    <mergeCell ref="G36:G37"/>
    <mergeCell ref="H36:H37"/>
    <mergeCell ref="A32:A35"/>
    <mergeCell ref="G34:J34"/>
    <mergeCell ref="B36:B37"/>
    <mergeCell ref="D36:D37"/>
    <mergeCell ref="I36:I37"/>
    <mergeCell ref="E36:E37"/>
  </mergeCells>
  <conditionalFormatting sqref="Q28 O28">
    <cfRule type="cellIs" priority="1" dxfId="1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Денисенко Євгенія Ігорівна</cp:lastModifiedBy>
  <cp:lastPrinted>2016-04-28T12:09:23Z</cp:lastPrinted>
  <dcterms:created xsi:type="dcterms:W3CDTF">2007-05-30T09:57:41Z</dcterms:created>
  <dcterms:modified xsi:type="dcterms:W3CDTF">2021-07-16T04:54:49Z</dcterms:modified>
  <cp:category/>
  <cp:version/>
  <cp:contentType/>
  <cp:contentStatus/>
</cp:coreProperties>
</file>