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СЛУЖБОВІ ЗАПИСКИ\На сайт\істотні характеристики\"/>
    </mc:Choice>
  </mc:AlternateContent>
  <bookViews>
    <workbookView xWindow="0" yWindow="0" windowWidth="19200" windowHeight="5700"/>
  </bookViews>
  <sheets>
    <sheet name="Калькулятор Київміськбуд" sheetId="3" r:id="rId1"/>
  </sheets>
  <definedNames>
    <definedName name="avans2" localSheetId="0">'Калькулятор Київміськбуд'!$J$7</definedName>
    <definedName name="avans2">#REF!</definedName>
    <definedName name="data2" localSheetId="0">'Калькулятор Київміськбуд'!$J$18</definedName>
    <definedName name="data2">#REF!</definedName>
    <definedName name="PROC2" localSheetId="0">'Калькулятор Київміськбуд'!#REF!</definedName>
    <definedName name="proc2">#REF!</definedName>
    <definedName name="stoimost2" localSheetId="0">#REF!</definedName>
    <definedName name="stoimost2">#REF!</definedName>
    <definedName name="strok" localSheetId="0">'Калькулятор Київміськбуд'!$H$8</definedName>
    <definedName name="strok2" localSheetId="0">'Калькулятор Київміськбуд'!$J$13</definedName>
    <definedName name="strok2">#REF!</definedName>
    <definedName name="sumkred2" localSheetId="0">'Калькулятор Київміськбуд'!$J$8</definedName>
    <definedName name="sumkred2">#REF!</definedName>
    <definedName name="sumproplat2" localSheetId="0">'Калькулятор Київміськбуд'!$J$19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F55" i="3"/>
  <c r="H54"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J60" i="3"/>
  <c r="L59"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N55" i="3"/>
  <c r="P54"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R57" i="3"/>
  <c r="T56"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V55" i="3"/>
  <c r="X54"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V60" i="3"/>
  <c r="X59"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Z60" i="3"/>
  <c r="AB59"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J71" i="3"/>
  <c r="K70" i="3"/>
  <c r="L70" i="3" s="1"/>
  <c r="M69" i="3"/>
  <c r="C289" i="3"/>
  <c r="I81"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c r="M81" i="3"/>
  <c r="Q69" i="3"/>
  <c r="N71" i="3"/>
  <c r="O70" i="3"/>
  <c r="C302" i="3" l="1"/>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R71" i="3"/>
  <c r="S70" i="3"/>
  <c r="T69" i="3"/>
  <c r="U69" i="3" s="1"/>
  <c r="C313" i="3"/>
  <c r="Q81" i="3"/>
  <c r="C314" i="3" l="1"/>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T81" i="3" s="1"/>
  <c r="V69" i="3"/>
  <c r="V70" i="3" l="1"/>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c r="K87" i="3" s="1"/>
  <c r="Y81" i="3"/>
  <c r="AC69" i="3"/>
  <c r="AB69" i="3"/>
  <c r="Z71" i="3"/>
  <c r="AA70" i="3"/>
  <c r="AC70" i="3" s="1"/>
  <c r="Z72" i="3" l="1"/>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<sst xmlns="http://schemas.openxmlformats.org/spreadsheetml/2006/main" count="199" uniqueCount="88">
  <si>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</si>
  <si>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</si>
  <si>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</si>
  <si>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</si>
  <si>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</si>
  <si>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</si>
  <si>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</si>
  <si>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</si>
  <si>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</si>
  <si>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</si>
  <si>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</si>
  <si>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</si>
  <si>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</si>
  <si>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</si>
  <si>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</si>
  <si>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</si>
  <si>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</si>
  <si>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</si>
  <si>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</si>
  <si>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Платежі за додаткові та супутні послуги кредитодавця, обов'язкові для укладання договору  (оплачується в грн.):</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</si>
  <si>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</si>
  <si>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</si>
  <si>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</si>
  <si>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</si>
  <si>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</si>
  <si>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</si>
  <si>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</si>
  <si>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</si>
  <si>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</si>
  <si>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</si>
  <si>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</si>
  <si>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</si>
  <si>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</si>
  <si>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</si>
  <si>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</si>
  <si>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</si>
  <si>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</si>
  <si>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</si>
  <si>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</si>
  <si>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</si>
  <si>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</si>
  <si>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</si>
  <si>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</si>
  <si>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</si>
  <si>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</si>
  <si>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</si>
  <si>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</si>
  <si>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</si>
  <si>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</si>
  <si>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</si>
  <si>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</si>
  <si>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</si>
  <si>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</si>
  <si>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</si>
  <si>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</si>
  <si>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</si>
  <si>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</si>
  <si>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</si>
  <si>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</si>
  <si>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</si>
  <si>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</si>
  <si>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</si>
  <si>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</si>
  <si>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</si>
  <si>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</si>
  <si>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</si>
  <si>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</si>
  <si>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</si>
  <si>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</si>
  <si>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</si>
  <si>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</si>
  <si>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</si>
  <si>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</si>
  <si>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</si>
  <si>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</si>
  <si>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</si>
  <si>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</si>
  <si>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</si>
  <si>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</si>
  <si>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</si>
  <si>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</si>
  <si>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</si>
  <si>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</si>
  <si>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</si>
  <si>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</si>
  <si>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</si>
  <si>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Ходинговою Компанією «Київміськбуд»</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</si>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</sst>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3">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0" borderId="0" xfId="2" applyFont="1" applyFill="1" applyAlignment="1" applyProtection="1">
      <protection hidden="1"/>
    </xf>
    <xf numFmtId="0" fontId="13" fillId="0" borderId="0" xfId="2" applyFont="1" applyFill="1" applyAlignment="1" applyProtection="1">
      <protection hidden="1"/>
    </xf>
    <xf numFmtId="0" fontId="3" fillId="3" borderId="0" xfId="2" applyFont="1" applyFill="1" applyAlignment="1" applyProtection="1">
      <protection hidden="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10" fontId="3" fillId="0" borderId="4" xfId="3" applyNumberFormat="1" applyFont="1" applyFill="1" applyBorder="1" applyAlignment="1" applyProtection="1">
      <alignment horizontal="right"/>
      <protection hidden="1"/>
    </xf>
    <xf numFmtId="4" fontId="3" fillId="0" borderId="4" xfId="2"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3" borderId="4" xfId="2" applyNumberFormat="1" applyFont="1" applyFill="1" applyBorder="1" applyAlignment="1" applyProtection="1">
      <alignment horizontal="right"/>
      <protection locked="0"/>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16</xdr:row>
          <xdr:rowOff>190500</xdr:rowOff>
        </xdr:from>
        <xdr:to>
          <xdr:col>11</xdr:col>
          <xdr:colOff>0</xdr:colOff>
          <xdr:row>19</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272143</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70" zoomScaleNormal="70" zoomScaleSheetLayoutView="70" workbookViewId="0">
      <selection activeCell="M6" sqref="M6:S6"/>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0.710937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124" t="s">
        <v>0</v>
      </c>
      <c r="B1" s="124"/>
      <c r="C1" s="124"/>
      <c r="D1" s="124"/>
      <c r="E1" s="124"/>
      <c r="F1" s="124"/>
      <c r="G1" s="124"/>
      <c r="H1" s="124"/>
      <c r="I1" s="124"/>
      <c r="J1" s="124"/>
      <c r="K1" s="124"/>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125" t="s">
        <v>1</v>
      </c>
      <c r="B2" s="125"/>
      <c r="C2" s="125"/>
      <c r="D2" s="125"/>
      <c r="E2" s="125"/>
      <c r="F2" s="125"/>
      <c r="G2" s="125"/>
      <c r="H2" s="125"/>
      <c r="I2" s="125"/>
      <c r="J2" s="125"/>
      <c r="K2" s="125"/>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126" t="s">
        <v>86</v>
      </c>
      <c r="B3" s="126"/>
      <c r="C3" s="126"/>
      <c r="D3" s="126"/>
      <c r="E3" s="126"/>
      <c r="F3" s="126"/>
      <c r="G3" s="126"/>
      <c r="H3" s="126"/>
      <c r="I3" s="126"/>
      <c r="J3" s="126"/>
      <c r="K3" s="126"/>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127" t="s">
        <v>2</v>
      </c>
      <c r="B4" s="127"/>
      <c r="C4" s="127"/>
      <c r="D4" s="127"/>
      <c r="E4" s="127"/>
      <c r="F4" s="127"/>
      <c r="G4" s="127"/>
      <c r="H4" s="127"/>
      <c r="I4" s="127"/>
      <c r="J4" s="127"/>
      <c r="K4" s="127"/>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28" t="s">
        <v>3</v>
      </c>
      <c r="B5" s="129"/>
      <c r="C5" s="129"/>
      <c r="D5" s="129"/>
      <c r="E5" s="129"/>
      <c r="F5" s="129"/>
      <c r="G5" s="129"/>
      <c r="H5" s="129"/>
      <c r="I5" s="130"/>
      <c r="J5" s="131" t="s">
        <v>4</v>
      </c>
      <c r="K5" s="132"/>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117" t="s">
        <v>5</v>
      </c>
      <c r="B6" s="118"/>
      <c r="C6" s="118"/>
      <c r="D6" s="118"/>
      <c r="E6" s="118"/>
      <c r="F6" s="118"/>
      <c r="G6" s="118"/>
      <c r="H6" s="118"/>
      <c r="I6" s="119"/>
      <c r="J6" s="108">
        <v>1000000</v>
      </c>
      <c r="K6" s="108"/>
      <c r="L6" s="5"/>
      <c r="M6" s="40"/>
      <c r="N6" s="39" t="s">
        <v>87</v>
      </c>
      <c r="O6" s="38"/>
      <c r="P6" s="38"/>
      <c r="Q6" s="38"/>
      <c r="R6" s="38"/>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20" t="s">
        <v>7</v>
      </c>
      <c r="B7" s="121"/>
      <c r="C7" s="121"/>
      <c r="D7" s="121"/>
      <c r="E7" s="121"/>
      <c r="F7" s="121"/>
      <c r="G7" s="121"/>
      <c r="H7" s="121"/>
      <c r="I7" s="122"/>
      <c r="J7" s="123">
        <v>0.3</v>
      </c>
      <c r="K7" s="123"/>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5" t="s">
        <v>10</v>
      </c>
      <c r="B8" s="96"/>
      <c r="C8" s="96"/>
      <c r="D8" s="96"/>
      <c r="E8" s="96"/>
      <c r="F8" s="96"/>
      <c r="G8" s="96"/>
      <c r="H8" s="96"/>
      <c r="I8" s="97"/>
      <c r="J8" s="62">
        <f>J6*(1-avans2)</f>
        <v>700000</v>
      </c>
      <c r="K8" s="62"/>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114" t="s">
        <v>13</v>
      </c>
      <c r="B9" s="115"/>
      <c r="C9" s="115"/>
      <c r="D9" s="115"/>
      <c r="E9" s="115"/>
      <c r="F9" s="115"/>
      <c r="G9" s="115"/>
      <c r="H9" s="116"/>
      <c r="I9" s="31"/>
      <c r="J9" s="108">
        <v>100000</v>
      </c>
      <c r="K9" s="108"/>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114" t="s">
        <v>14</v>
      </c>
      <c r="B10" s="115"/>
      <c r="C10" s="115"/>
      <c r="D10" s="115"/>
      <c r="E10" s="115"/>
      <c r="F10" s="115"/>
      <c r="G10" s="115"/>
      <c r="H10" s="116"/>
      <c r="I10" s="31"/>
      <c r="J10" s="108">
        <f>J9*J25</f>
        <v>0</v>
      </c>
      <c r="K10" s="108"/>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105" t="s">
        <v>15</v>
      </c>
      <c r="B11" s="106"/>
      <c r="C11" s="106"/>
      <c r="D11" s="106"/>
      <c r="E11" s="106"/>
      <c r="F11" s="106"/>
      <c r="G11" s="106"/>
      <c r="H11" s="107"/>
      <c r="I11" s="32"/>
      <c r="J11" s="108">
        <v>0</v>
      </c>
      <c r="K11" s="108"/>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105" t="s">
        <v>16</v>
      </c>
      <c r="B12" s="106"/>
      <c r="C12" s="106"/>
      <c r="D12" s="106"/>
      <c r="E12" s="106"/>
      <c r="F12" s="106"/>
      <c r="G12" s="106"/>
      <c r="H12" s="107"/>
      <c r="I12" s="32"/>
      <c r="J12" s="108">
        <v>0</v>
      </c>
      <c r="K12" s="108"/>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109" t="s">
        <v>17</v>
      </c>
      <c r="B13" s="110"/>
      <c r="C13" s="110"/>
      <c r="D13" s="110"/>
      <c r="E13" s="110"/>
      <c r="F13" s="110"/>
      <c r="G13" s="110"/>
      <c r="H13" s="110"/>
      <c r="I13" s="111"/>
      <c r="J13" s="112">
        <v>240</v>
      </c>
      <c r="K13" s="113"/>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90" t="s">
        <v>83</v>
      </c>
      <c r="B14" s="91"/>
      <c r="C14" s="91"/>
      <c r="D14" s="91"/>
      <c r="E14" s="91"/>
      <c r="F14" s="91"/>
      <c r="G14" s="91"/>
      <c r="H14" s="91"/>
      <c r="I14" s="92"/>
      <c r="J14" s="93">
        <v>0.05</v>
      </c>
      <c r="K14" s="94"/>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5" t="s">
        <v>84</v>
      </c>
      <c r="B15" s="86"/>
      <c r="C15" s="86"/>
      <c r="D15" s="86"/>
      <c r="E15" s="86"/>
      <c r="F15" s="86"/>
      <c r="G15" s="86"/>
      <c r="H15" s="86"/>
      <c r="I15" s="87"/>
      <c r="J15" s="88">
        <v>15</v>
      </c>
      <c r="K15" s="89"/>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90" t="s">
        <v>83</v>
      </c>
      <c r="B16" s="91"/>
      <c r="C16" s="91"/>
      <c r="D16" s="91"/>
      <c r="E16" s="91"/>
      <c r="F16" s="91"/>
      <c r="G16" s="91"/>
      <c r="H16" s="91"/>
      <c r="I16" s="92"/>
      <c r="J16" s="93">
        <v>0.14990000000000001</v>
      </c>
      <c r="K16" s="94"/>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5" t="s">
        <v>84</v>
      </c>
      <c r="B17" s="86"/>
      <c r="C17" s="86"/>
      <c r="D17" s="86"/>
      <c r="E17" s="86"/>
      <c r="F17" s="86"/>
      <c r="G17" s="86"/>
      <c r="H17" s="86"/>
      <c r="I17" s="87"/>
      <c r="J17" s="88">
        <f>strok2-J15</f>
        <v>225</v>
      </c>
      <c r="K17" s="89"/>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95" t="s">
        <v>18</v>
      </c>
      <c r="B18" s="96"/>
      <c r="C18" s="96"/>
      <c r="D18" s="96"/>
      <c r="E18" s="96"/>
      <c r="F18" s="96"/>
      <c r="G18" s="96"/>
      <c r="H18" s="96"/>
      <c r="I18" s="97"/>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3" t="str">
        <f>CONCATENATE("Месячный платеж по кредиту, ",O36)</f>
        <v xml:space="preserve">Месячный платеж по кредиту, </v>
      </c>
      <c r="B19" s="74"/>
      <c r="C19" s="74"/>
      <c r="D19" s="74"/>
      <c r="E19" s="74"/>
      <c r="F19" s="74"/>
      <c r="G19" s="74"/>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19</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3" t="s">
        <v>85</v>
      </c>
      <c r="B21" s="74"/>
      <c r="C21" s="74"/>
      <c r="D21" s="74"/>
      <c r="E21" s="74"/>
      <c r="F21" s="74"/>
      <c r="G21" s="74"/>
      <c r="H21" s="74"/>
      <c r="I21" s="75"/>
      <c r="J21" s="61">
        <v>0</v>
      </c>
      <c r="K21" s="6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3" t="s">
        <v>20</v>
      </c>
      <c r="B22" s="74"/>
      <c r="C22" s="74"/>
      <c r="D22" s="74"/>
      <c r="E22" s="74"/>
      <c r="F22" s="74"/>
      <c r="G22" s="74"/>
      <c r="H22" s="74"/>
      <c r="I22" s="75"/>
      <c r="J22" s="76">
        <v>0</v>
      </c>
      <c r="K22" s="77"/>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3" t="s">
        <v>22</v>
      </c>
      <c r="B23" s="74"/>
      <c r="C23" s="74"/>
      <c r="D23" s="74"/>
      <c r="E23" s="74"/>
      <c r="F23" s="74"/>
      <c r="G23" s="74"/>
      <c r="H23" s="74"/>
      <c r="I23" s="75"/>
      <c r="J23" s="78" t="s">
        <v>23</v>
      </c>
      <c r="K23" s="79"/>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3" t="s">
        <v>21</v>
      </c>
      <c r="B24" s="74"/>
      <c r="C24" s="74"/>
      <c r="D24" s="74"/>
      <c r="E24" s="74"/>
      <c r="F24" s="74"/>
      <c r="G24" s="74"/>
      <c r="H24" s="74"/>
      <c r="I24" s="75"/>
      <c r="J24" s="80">
        <v>0</v>
      </c>
      <c r="K24" s="81"/>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82" t="s">
        <v>30</v>
      </c>
      <c r="B25" s="83"/>
      <c r="C25" s="83"/>
      <c r="D25" s="83"/>
      <c r="E25" s="83"/>
      <c r="F25" s="83"/>
      <c r="G25" s="83"/>
      <c r="H25" s="83"/>
      <c r="I25" s="83"/>
      <c r="J25" s="83"/>
      <c r="K25" s="84"/>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58" t="s">
        <v>24</v>
      </c>
      <c r="B26" s="68"/>
      <c r="C26" s="68"/>
      <c r="D26" s="68"/>
      <c r="E26" s="68"/>
      <c r="F26" s="68"/>
      <c r="G26" s="68"/>
      <c r="H26" s="68"/>
      <c r="I26" s="69"/>
      <c r="J26" s="62">
        <v>12270</v>
      </c>
      <c r="K26" s="62"/>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58" t="s">
        <v>25</v>
      </c>
      <c r="B27" s="59"/>
      <c r="C27" s="59"/>
      <c r="D27" s="59"/>
      <c r="E27" s="59"/>
      <c r="F27" s="59"/>
      <c r="G27" s="59"/>
      <c r="H27" s="59"/>
      <c r="I27" s="60"/>
      <c r="J27" s="61">
        <v>1E-3</v>
      </c>
      <c r="K27" s="6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72" t="s">
        <v>26</v>
      </c>
      <c r="B28" s="59"/>
      <c r="C28" s="59"/>
      <c r="D28" s="59"/>
      <c r="E28" s="59"/>
      <c r="F28" s="59"/>
      <c r="G28" s="59"/>
      <c r="H28" s="59"/>
      <c r="I28" s="60"/>
      <c r="J28" s="61">
        <v>3.0000000000000001E-3</v>
      </c>
      <c r="K28" s="6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58" t="s">
        <v>27</v>
      </c>
      <c r="B29" s="59"/>
      <c r="C29" s="59"/>
      <c r="D29" s="59"/>
      <c r="E29" s="59"/>
      <c r="F29" s="59"/>
      <c r="G29" s="59"/>
      <c r="H29" s="59"/>
      <c r="I29" s="60"/>
      <c r="J29" s="61">
        <v>7.0000000000000001E-3</v>
      </c>
      <c r="K29" s="6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58" t="s">
        <v>28</v>
      </c>
      <c r="B30" s="59"/>
      <c r="C30" s="59"/>
      <c r="D30" s="59"/>
      <c r="E30" s="59"/>
      <c r="F30" s="59"/>
      <c r="G30" s="59"/>
      <c r="H30" s="59"/>
      <c r="I30" s="60"/>
      <c r="J30" s="62">
        <v>2000</v>
      </c>
      <c r="K30" s="62"/>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58" t="s">
        <v>29</v>
      </c>
      <c r="B31" s="59"/>
      <c r="C31" s="59"/>
      <c r="D31" s="59"/>
      <c r="E31" s="59"/>
      <c r="F31" s="59"/>
      <c r="G31" s="59"/>
      <c r="H31" s="59"/>
      <c r="I31" s="60"/>
      <c r="J31" s="62">
        <v>3086</v>
      </c>
      <c r="K31" s="62"/>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58"/>
      <c r="B32" s="59"/>
      <c r="C32" s="59"/>
      <c r="D32" s="59"/>
      <c r="E32" s="59"/>
      <c r="F32" s="59"/>
      <c r="G32" s="59"/>
      <c r="H32" s="59"/>
      <c r="I32" s="60"/>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63" t="s">
        <v>30</v>
      </c>
      <c r="B33" s="64"/>
      <c r="C33" s="64"/>
      <c r="D33" s="64"/>
      <c r="E33" s="64"/>
      <c r="F33" s="64"/>
      <c r="G33" s="64"/>
      <c r="H33" s="64"/>
      <c r="I33" s="65"/>
      <c r="J33" s="66">
        <v>0</v>
      </c>
      <c r="K33" s="66"/>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67" t="s">
        <v>31</v>
      </c>
      <c r="B34" s="68"/>
      <c r="C34" s="68"/>
      <c r="D34" s="68"/>
      <c r="E34" s="68"/>
      <c r="F34" s="68"/>
      <c r="G34" s="68"/>
      <c r="H34" s="68"/>
      <c r="I34" s="69"/>
      <c r="J34" s="70">
        <v>0</v>
      </c>
      <c r="K34" s="7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53"/>
      <c r="B35" s="54"/>
      <c r="C35" s="54"/>
      <c r="D35" s="54"/>
      <c r="E35" s="54"/>
      <c r="F35" s="54"/>
      <c r="G35" s="54"/>
      <c r="H35" s="54"/>
      <c r="I35" s="55"/>
      <c r="J35" s="56"/>
      <c r="K35" s="57"/>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51" t="s">
        <v>33</v>
      </c>
      <c r="B37" s="48" t="s">
        <v>34</v>
      </c>
      <c r="C37" s="49"/>
      <c r="D37" s="49"/>
      <c r="E37" s="50"/>
      <c r="F37" s="48" t="s">
        <v>35</v>
      </c>
      <c r="G37" s="49"/>
      <c r="H37" s="49"/>
      <c r="I37" s="50"/>
      <c r="J37" s="48" t="s">
        <v>36</v>
      </c>
      <c r="K37" s="49"/>
      <c r="L37" s="49"/>
      <c r="M37" s="50"/>
      <c r="N37" s="48" t="s">
        <v>37</v>
      </c>
      <c r="O37" s="49"/>
      <c r="P37" s="49"/>
      <c r="Q37" s="50"/>
      <c r="R37" s="48" t="s">
        <v>38</v>
      </c>
      <c r="S37" s="49"/>
      <c r="T37" s="49"/>
      <c r="U37" s="50"/>
      <c r="V37" s="48" t="s">
        <v>39</v>
      </c>
      <c r="W37" s="49"/>
      <c r="X37" s="49"/>
      <c r="Y37" s="50"/>
      <c r="Z37" s="48" t="s">
        <v>40</v>
      </c>
      <c r="AA37" s="49"/>
      <c r="AB37" s="49"/>
      <c r="AC37" s="50"/>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52"/>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700000</v>
      </c>
      <c r="C39" s="15">
        <f t="shared" ref="C39:C50" si="0">IF(LEFT($A39,1)*1+LEFT(B$37,1)*12-12&lt;=$J$15,B39*($J$14/12),B39*($J$16/12))</f>
        <v>2916.6666666666665</v>
      </c>
      <c r="D39" s="16">
        <f>IF($A39="1 міс.",$J$28*$J$6+$J$29*B39,0)+$J$21*sumkred2+$J$22+$J$24*sumkred2+$J$26+$J$30+J27*J6</f>
        <v>23170</v>
      </c>
      <c r="E39" s="16">
        <f>IF(data2=2,C39+D39,IF(data2=1,IF(C39&gt;0,C39+D39+sumproplat2,0),IF(B39&gt;sumproplat2*2,sumproplat2,B39+C39+D39)))</f>
        <v>29003.333333333336</v>
      </c>
      <c r="F39" s="17">
        <f>IF(data2=1,IF((B50-sumproplat2)&gt;1,B50-sumproplat2,0),IF(B50-(sumproplat2-C50-D50)&gt;0,B50-(E50-C50-D50),0))</f>
        <v>665000.00000000047</v>
      </c>
      <c r="G39" s="15">
        <f t="shared" ref="G39:G50" si="1">IF(LEFT($A39,1)*1+LEFT(F$37,1)*12-12&lt;=$J$15,F39*($J$14/12),F39*($J$16/12))</f>
        <v>2770.8333333333353</v>
      </c>
      <c r="H39" s="16">
        <f t="shared" ref="H39:H50" si="2">IF(AND($A39="1 міс.",F39&gt;0),$J$28*$J$6+$J$29*F39,0)+IF(F39-IF(data2=1,IF(G39&gt;0.001,G39+sumproplat2,0),IF(F39&gt;sumproplat2*2,sumproplat2,F39+G39))&lt;0,$J$31,0)</f>
        <v>7655.0000000000036</v>
      </c>
      <c r="I39" s="16">
        <f t="shared" ref="I39:I50" si="3">IF(data2=1,IF(G39&gt;0.001,G39+H39+sumproplat2,0),IF(F39&gt;sumproplat2*2,sumproplat2+H39,F39+G39+H39))</f>
        <v>13342.500000000005</v>
      </c>
      <c r="J39" s="17">
        <f>IF(data2=1,IF((F50-sumproplat2)&gt;1,F50-sumproplat2,0),IF(F50-(sumproplat2-G50-H50)&gt;0,F50-(I50-G50-H50),0))</f>
        <v>630000.00000000093</v>
      </c>
      <c r="K39" s="15">
        <f t="shared" ref="K39:K50" si="4">IF(LEFT($A39,1)*1+LEFT(J$37,1)*12-12&lt;=$J$15,J39*($J$14/12),J39*($J$16/12))</f>
        <v>7869.7500000000118</v>
      </c>
      <c r="L39" s="16">
        <f t="shared" ref="L39:L50" si="5">IF(AND($A39="1 міс.",J39&gt;0),$J$28*$J$6+$J$29*J39,0)+IF(J39-IF(data2=1,IF(K39&gt;0.001,K39+sumproplat2,0),IF(J39&gt;sumproplat2*2,sumproplat2,J39+K39))&lt;0,$J$31,0)</f>
        <v>7410.0000000000064</v>
      </c>
      <c r="M39" s="16">
        <f t="shared" ref="M39:M50" si="6">IF(data2=1,IF(K39&gt;0.001,K39+L39+sumproplat2,0),IF(J39&gt;sumproplat2*2,sumproplat2+L39,J39+K39+L39))</f>
        <v>18196.416666666686</v>
      </c>
      <c r="N39" s="17">
        <f>IF(data2=1,IF((J50-sumproplat2)&gt;1,J50-sumproplat2,0),IF(J50-(sumproplat2-K50-L50)&gt;0,J50-(M50-K50-L50),0))</f>
        <v>595000.0000000014</v>
      </c>
      <c r="O39" s="15">
        <f t="shared" ref="O39:O50" si="7">IF(LEFT($A39,1)*1+LEFT(N$37,1)*12-12&lt;=$J$15,N39*($J$14/12),N39*($J$16/12))</f>
        <v>7432.5416666666843</v>
      </c>
      <c r="P39" s="16">
        <f t="shared" ref="P39:P50" si="8">IF(AND($A39="1 міс.",N39&gt;0),$J$28*$J$6+$J$29*N39,0)+IF(N39-IF(data2=1,IF(O39&gt;0.001,O39+sumproplat2,0),IF(N39&gt;sumproplat2*2,sumproplat2,N39+O39))&lt;0,$J$31,0)</f>
        <v>7165.00000000001</v>
      </c>
      <c r="Q39" s="16">
        <f t="shared" ref="Q39:Q50" si="9">IF(data2=1,IF(O39&gt;0.001,O39+P39+sumproplat2,0),IF(N39&gt;sumproplat2*2,sumproplat2+P39,N39+O39+P39))</f>
        <v>17514.208333333361</v>
      </c>
      <c r="R39" s="17">
        <f>IF(data2=1,IF((N50-sumproplat2)&gt;1,N50-sumproplat2,0),IF(N50-(sumproplat2-O50-P50)&gt;0,N50-(Q50-O50-P50),0))</f>
        <v>560000.00000000186</v>
      </c>
      <c r="S39" s="15">
        <f t="shared" ref="S39:S50" si="10">IF(LEFT($A39,1)*1+LEFT(R$37,1)*12-12&lt;=$J$15,R39*($J$14/12),R39*($J$16/12))</f>
        <v>6995.3333333333567</v>
      </c>
      <c r="T39" s="16">
        <f t="shared" ref="T39:T50" si="11">IF(AND($A39="1 міс.",R39&gt;0),$J$28*$J$6+$J$29*R39,0)+IF(R39-IF(data2=1,IF(S39&gt;0.001,S39+sumproplat2,0),IF(R39&gt;sumproplat2*2,sumproplat2,R39+S39))&lt;0,$J$31,0)</f>
        <v>6920.0000000000127</v>
      </c>
      <c r="U39" s="16">
        <f t="shared" ref="U39:U50" si="12">IF(data2=1,IF(S39&gt;0.001,S39+T39+sumproplat2,0),IF(R39&gt;sumproplat2*2,sumproplat2+T39,R39+S39+T39))</f>
        <v>16832.000000000036</v>
      </c>
      <c r="V39" s="17">
        <f>IF(data2=1,IF((R50-sumproplat2)&gt;1,R50-sumproplat2,0),IF(R50-(sumproplat2-S50-T50)&gt;0,R50-(U50-S50-T50),0))</f>
        <v>525000.00000000233</v>
      </c>
      <c r="W39" s="15">
        <f t="shared" ref="W39:W50" si="13">IF(LEFT($A39,1)*1+LEFT(V$37,1)*12-12&lt;=$J$15,V39*($J$14/12),V39*($J$16/12))</f>
        <v>6558.1250000000291</v>
      </c>
      <c r="X39" s="16">
        <f t="shared" ref="X39:X50" si="14">IF(AND($A39="1 міс.",V39&gt;0),$J$28*$J$6+$J$29*V39,0)+IF(V39-IF(data2=1,IF(W39&gt;0.001,W39+sumproplat2,0),IF(V39&gt;sumproplat2*2,sumproplat2,V39+W39))&lt;0,$J$31,0)</f>
        <v>6675.0000000000164</v>
      </c>
      <c r="Y39" s="16">
        <f t="shared" ref="Y39:Y50" si="15">IF(data2=1,IF(W39&gt;0.001,W39+X39+sumproplat2,0),IF(V39&gt;sumproplat2*2,sumproplat2+X39,V39+W39+X39))</f>
        <v>16149.791666666712</v>
      </c>
      <c r="Z39" s="17">
        <f>IF(data2=1,IF((V50-sumproplat2)&gt;1,V50-sumproplat2,0),IF(V50-(sumproplat2-W50-X50)&gt;0,V50-(Y50-W50-X50),0))</f>
        <v>490000.0000000021</v>
      </c>
      <c r="AA39" s="15">
        <f t="shared" ref="AA39:AA50" si="16">IF(LEFT($A39,1)*1+LEFT(Z$37,1)*12-12&lt;=$J$15,Z39*($J$14/12),Z39*($J$16/12))</f>
        <v>6120.9166666666924</v>
      </c>
      <c r="AB39" s="16">
        <f t="shared" ref="AB39:AB50" si="17">IF(AND($A39="1 міс.",Z39&gt;0),$J$28*$J$6+$J$29*Z39,0)+IF(Z39-IF(data2=1,IF(AA39&gt;0.001,AA39+sumproplat2,0),IF(Z39&gt;sumproplat2*2,sumproplat2,Z39+AA39))&lt;0,$J$31,0)</f>
        <v>6430.0000000000146</v>
      </c>
      <c r="AC39" s="16">
        <f t="shared" ref="AC39:AC50" si="18">IF(data2=1,IF(AA39&gt;0.001,AA39+AB39+sumproplat2,0),IF(Z39&gt;sumproplat2*2,sumproplat2+AB39,Z39+AA39+AB39))</f>
        <v>15467.583333333374</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697083.33333333337</v>
      </c>
      <c r="C40" s="15">
        <f t="shared" si="0"/>
        <v>2904.5138888888891</v>
      </c>
      <c r="D40" s="16">
        <f t="shared" ref="D40:D50" si="20">IF($A40="1 міс.",$J$28*$J$6+$J$29*B40,0)+IF(B40-IF(data2=1,IF(C40&gt;0.001,C40+sumproplat2,0),IF(B40&gt;sumproplat2*2,sumproplat2,B40+C40))&lt;0,$J$31,0)</f>
        <v>0</v>
      </c>
      <c r="E40" s="16">
        <f t="shared" ref="E40:E50" si="21">IF(data2=1,IF(C40&gt;0.001,C40+D40+sumproplat2,0),IF(B40&gt;sumproplat2*2,sumproplat2+D40,B40+C40+D40))</f>
        <v>5821.1805555555557</v>
      </c>
      <c r="F40" s="17">
        <f t="shared" ref="F40:F50" si="22">IF(data2=1,IF((F39-sumproplat2)&gt;1,F39-sumproplat2,0),IF(F39-(sumproplat2-G39-H39)&gt;0,F39-(I39-G39-H39),0))</f>
        <v>662083.33333333384</v>
      </c>
      <c r="G40" s="15">
        <f t="shared" si="1"/>
        <v>2758.6805555555575</v>
      </c>
      <c r="H40" s="16">
        <f t="shared" si="2"/>
        <v>0</v>
      </c>
      <c r="I40" s="16">
        <f t="shared" si="3"/>
        <v>5675.3472222222244</v>
      </c>
      <c r="J40" s="17">
        <f t="shared" ref="J40:J50" si="23">IF(data2=1,IF((J39-sumproplat2)&gt;1,J39-sumproplat2,0),IF(J39-(sumproplat2-K39-L39)&gt;0,J39-(M39-K39-L39),0))</f>
        <v>627083.3333333343</v>
      </c>
      <c r="K40" s="15">
        <f t="shared" si="4"/>
        <v>7833.3159722222344</v>
      </c>
      <c r="L40" s="16">
        <f t="shared" si="5"/>
        <v>0</v>
      </c>
      <c r="M40" s="16">
        <f t="shared" si="6"/>
        <v>10749.982638888901</v>
      </c>
      <c r="N40" s="17">
        <f t="shared" ref="N40:N50" si="24">IF(data2=1,IF((N39-sumproplat2)&gt;1,N39-sumproplat2,0),IF(N39-(sumproplat2-O39-P39)&gt;0,N39-(Q39-O39-P39),0))</f>
        <v>592083.33333333477</v>
      </c>
      <c r="O40" s="15">
        <f t="shared" si="7"/>
        <v>7396.1076388889069</v>
      </c>
      <c r="P40" s="16">
        <f t="shared" si="8"/>
        <v>0</v>
      </c>
      <c r="Q40" s="16">
        <f t="shared" si="9"/>
        <v>10312.774305555573</v>
      </c>
      <c r="R40" s="17">
        <f t="shared" ref="R40:R50" si="25">IF(data2=1,IF((R39-sumproplat2)&gt;1,R39-sumproplat2,0),IF(R39-(sumproplat2-S39-T39)&gt;0,R39-(U39-S39-T39),0))</f>
        <v>557083.33333333523</v>
      </c>
      <c r="S40" s="15">
        <f t="shared" si="10"/>
        <v>6958.8993055555793</v>
      </c>
      <c r="T40" s="16">
        <f t="shared" si="11"/>
        <v>0</v>
      </c>
      <c r="U40" s="16">
        <f t="shared" si="12"/>
        <v>9875.5659722222463</v>
      </c>
      <c r="V40" s="17">
        <f t="shared" ref="V40:V50" si="26">IF(data2=1,IF((V39-sumproplat2)&gt;1,V39-sumproplat2,0),IF(V39-(sumproplat2-W39-X39)&gt;0,V39-(Y39-W39-X39),0))</f>
        <v>522083.33333333564</v>
      </c>
      <c r="W40" s="15">
        <f t="shared" si="13"/>
        <v>6521.6909722222508</v>
      </c>
      <c r="X40" s="16">
        <f t="shared" si="14"/>
        <v>0</v>
      </c>
      <c r="Y40" s="16">
        <f t="shared" si="15"/>
        <v>9438.3576388889178</v>
      </c>
      <c r="Z40" s="17">
        <f t="shared" ref="Z40:Z50" si="27">IF(data2=1,IF((Z39-sumproplat2)&gt;1,Z39-sumproplat2,0),IF(Z39-(sumproplat2-AA39-AB39)&gt;0,Z39-(AC39-AA39-AB39),0))</f>
        <v>487083.33333333541</v>
      </c>
      <c r="AA40" s="15">
        <f t="shared" si="16"/>
        <v>6084.4826388889151</v>
      </c>
      <c r="AB40" s="16">
        <f t="shared" si="17"/>
        <v>0</v>
      </c>
      <c r="AC40" s="16">
        <f t="shared" si="18"/>
        <v>9001.149305555582</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694166.66666666674</v>
      </c>
      <c r="C41" s="15">
        <f t="shared" si="0"/>
        <v>2892.3611111111113</v>
      </c>
      <c r="D41" s="16">
        <f t="shared" si="20"/>
        <v>0</v>
      </c>
      <c r="E41" s="16">
        <f t="shared" si="21"/>
        <v>5809.0277777777774</v>
      </c>
      <c r="F41" s="17">
        <f t="shared" si="22"/>
        <v>659166.66666666721</v>
      </c>
      <c r="G41" s="15">
        <f t="shared" si="1"/>
        <v>2746.5277777777801</v>
      </c>
      <c r="H41" s="16">
        <f t="shared" si="2"/>
        <v>0</v>
      </c>
      <c r="I41" s="16">
        <f t="shared" si="3"/>
        <v>5663.1944444444471</v>
      </c>
      <c r="J41" s="17">
        <f t="shared" si="23"/>
        <v>624166.66666666768</v>
      </c>
      <c r="K41" s="15">
        <f t="shared" si="4"/>
        <v>7796.8819444444571</v>
      </c>
      <c r="L41" s="16">
        <f t="shared" si="5"/>
        <v>0</v>
      </c>
      <c r="M41" s="16">
        <f t="shared" si="6"/>
        <v>10713.548611111124</v>
      </c>
      <c r="N41" s="17">
        <f t="shared" si="24"/>
        <v>589166.66666666814</v>
      </c>
      <c r="O41" s="15">
        <f t="shared" si="7"/>
        <v>7359.6736111111295</v>
      </c>
      <c r="P41" s="16">
        <f t="shared" si="8"/>
        <v>0</v>
      </c>
      <c r="Q41" s="16">
        <f t="shared" si="9"/>
        <v>10276.340277777796</v>
      </c>
      <c r="R41" s="17">
        <f t="shared" si="25"/>
        <v>554166.66666666861</v>
      </c>
      <c r="S41" s="15">
        <f t="shared" si="10"/>
        <v>6922.4652777778019</v>
      </c>
      <c r="T41" s="16">
        <f t="shared" si="11"/>
        <v>0</v>
      </c>
      <c r="U41" s="16">
        <f t="shared" si="12"/>
        <v>9839.1319444444689</v>
      </c>
      <c r="V41" s="17">
        <f t="shared" si="26"/>
        <v>519166.66666666896</v>
      </c>
      <c r="W41" s="15">
        <f t="shared" si="13"/>
        <v>6485.2569444444725</v>
      </c>
      <c r="X41" s="16">
        <f t="shared" si="14"/>
        <v>0</v>
      </c>
      <c r="Y41" s="16">
        <f t="shared" si="15"/>
        <v>9401.9236111111386</v>
      </c>
      <c r="Z41" s="17">
        <f t="shared" si="27"/>
        <v>484166.66666666872</v>
      </c>
      <c r="AA41" s="15">
        <f t="shared" si="16"/>
        <v>6048.0486111111368</v>
      </c>
      <c r="AB41" s="16">
        <f t="shared" si="17"/>
        <v>0</v>
      </c>
      <c r="AC41" s="16">
        <f t="shared" si="18"/>
        <v>8964.7152777778028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691250.00000000012</v>
      </c>
      <c r="C42" s="15">
        <f t="shared" si="0"/>
        <v>2880.2083333333339</v>
      </c>
      <c r="D42" s="16">
        <f t="shared" si="20"/>
        <v>0</v>
      </c>
      <c r="E42" s="16">
        <f t="shared" si="21"/>
        <v>5796.875</v>
      </c>
      <c r="F42" s="17">
        <f t="shared" si="22"/>
        <v>656250.00000000058</v>
      </c>
      <c r="G42" s="15">
        <f t="shared" si="1"/>
        <v>8197.6562500000073</v>
      </c>
      <c r="H42" s="16">
        <f t="shared" si="2"/>
        <v>0</v>
      </c>
      <c r="I42" s="16">
        <f t="shared" si="3"/>
        <v>11114.322916666673</v>
      </c>
      <c r="J42" s="17">
        <f t="shared" si="23"/>
        <v>621250.00000000105</v>
      </c>
      <c r="K42" s="15">
        <f t="shared" si="4"/>
        <v>7760.4479166666797</v>
      </c>
      <c r="L42" s="16">
        <f t="shared" si="5"/>
        <v>0</v>
      </c>
      <c r="M42" s="16">
        <f t="shared" si="6"/>
        <v>10677.114583333347</v>
      </c>
      <c r="N42" s="17">
        <f t="shared" si="24"/>
        <v>586250.00000000151</v>
      </c>
      <c r="O42" s="15">
        <f t="shared" si="7"/>
        <v>7323.2395833333521</v>
      </c>
      <c r="P42" s="16">
        <f t="shared" si="8"/>
        <v>0</v>
      </c>
      <c r="Q42" s="16">
        <f t="shared" si="9"/>
        <v>10239.906250000018</v>
      </c>
      <c r="R42" s="17">
        <f t="shared" si="25"/>
        <v>551250.00000000198</v>
      </c>
      <c r="S42" s="15">
        <f t="shared" si="10"/>
        <v>6886.0312500000246</v>
      </c>
      <c r="T42" s="16">
        <f t="shared" si="11"/>
        <v>0</v>
      </c>
      <c r="U42" s="16">
        <f t="shared" si="12"/>
        <v>9802.6979166666915</v>
      </c>
      <c r="V42" s="17">
        <f t="shared" si="26"/>
        <v>516250.00000000227</v>
      </c>
      <c r="W42" s="15">
        <f t="shared" si="13"/>
        <v>6448.8229166666952</v>
      </c>
      <c r="X42" s="16">
        <f t="shared" si="14"/>
        <v>0</v>
      </c>
      <c r="Y42" s="16">
        <f t="shared" si="15"/>
        <v>9365.4895833333612</v>
      </c>
      <c r="Z42" s="17">
        <f t="shared" si="27"/>
        <v>481250.00000000204</v>
      </c>
      <c r="AA42" s="15">
        <f t="shared" si="16"/>
        <v>6011.6145833333585</v>
      </c>
      <c r="AB42" s="16">
        <f t="shared" si="17"/>
        <v>0</v>
      </c>
      <c r="AC42" s="16">
        <f t="shared" si="18"/>
        <v>8928.2812500000255</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688333.33333333349</v>
      </c>
      <c r="C43" s="15">
        <f>IF(LEFT($A43,1)*1+LEFT(B$37,1)*12-12&lt;=$J$15,B43*($J$14/12),B43*($J$16/12))</f>
        <v>2868.0555555555561</v>
      </c>
      <c r="D43" s="16">
        <f t="shared" si="20"/>
        <v>0</v>
      </c>
      <c r="E43" s="16">
        <f t="shared" si="21"/>
        <v>5784.7222222222226</v>
      </c>
      <c r="F43" s="17">
        <f t="shared" si="22"/>
        <v>653333.33333333395</v>
      </c>
      <c r="G43" s="15">
        <f t="shared" si="1"/>
        <v>8161.2222222222299</v>
      </c>
      <c r="H43" s="16">
        <f t="shared" si="2"/>
        <v>0</v>
      </c>
      <c r="I43" s="16">
        <f t="shared" si="3"/>
        <v>11077.888888888896</v>
      </c>
      <c r="J43" s="17">
        <f t="shared" si="23"/>
        <v>618333.33333333442</v>
      </c>
      <c r="K43" s="15">
        <f t="shared" si="4"/>
        <v>7724.0138888889023</v>
      </c>
      <c r="L43" s="16">
        <f t="shared" si="5"/>
        <v>0</v>
      </c>
      <c r="M43" s="16">
        <f t="shared" si="6"/>
        <v>10640.680555555569</v>
      </c>
      <c r="N43" s="17">
        <f t="shared" si="24"/>
        <v>583333.33333333489</v>
      </c>
      <c r="O43" s="15">
        <f t="shared" si="7"/>
        <v>7286.8055555555748</v>
      </c>
      <c r="P43" s="16">
        <f t="shared" si="8"/>
        <v>0</v>
      </c>
      <c r="Q43" s="16">
        <f t="shared" si="9"/>
        <v>10203.472222222241</v>
      </c>
      <c r="R43" s="17">
        <f t="shared" si="25"/>
        <v>548333.33333333535</v>
      </c>
      <c r="S43" s="15">
        <f t="shared" si="10"/>
        <v>6849.5972222222472</v>
      </c>
      <c r="T43" s="16">
        <f t="shared" si="11"/>
        <v>0</v>
      </c>
      <c r="U43" s="16">
        <f t="shared" si="12"/>
        <v>9766.2638888889142</v>
      </c>
      <c r="V43" s="17">
        <f t="shared" si="26"/>
        <v>513333.33333333558</v>
      </c>
      <c r="W43" s="15">
        <f t="shared" si="13"/>
        <v>6412.3888888889169</v>
      </c>
      <c r="X43" s="16">
        <f t="shared" si="14"/>
        <v>0</v>
      </c>
      <c r="Y43" s="16">
        <f t="shared" si="15"/>
        <v>9329.0555555555839</v>
      </c>
      <c r="Z43" s="17">
        <f t="shared" si="27"/>
        <v>478333.33333333535</v>
      </c>
      <c r="AA43" s="15">
        <f t="shared" si="16"/>
        <v>5975.1805555555811</v>
      </c>
      <c r="AB43" s="16">
        <f t="shared" si="17"/>
        <v>0</v>
      </c>
      <c r="AC43" s="16">
        <f t="shared" si="18"/>
        <v>8891.8472222222481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685416.66666666686</v>
      </c>
      <c r="C44" s="15">
        <f t="shared" si="0"/>
        <v>2855.9027777777787</v>
      </c>
      <c r="D44" s="16">
        <f t="shared" si="20"/>
        <v>0</v>
      </c>
      <c r="E44" s="16">
        <f t="shared" si="21"/>
        <v>5772.5694444444453</v>
      </c>
      <c r="F44" s="17">
        <f t="shared" si="22"/>
        <v>650416.66666666733</v>
      </c>
      <c r="G44" s="15">
        <f t="shared" si="1"/>
        <v>8124.7881944444525</v>
      </c>
      <c r="H44" s="16">
        <f t="shared" si="2"/>
        <v>0</v>
      </c>
      <c r="I44" s="16">
        <f t="shared" si="3"/>
        <v>11041.454861111119</v>
      </c>
      <c r="J44" s="17">
        <f t="shared" si="23"/>
        <v>615416.66666666779</v>
      </c>
      <c r="K44" s="15">
        <f t="shared" si="4"/>
        <v>7687.579861111125</v>
      </c>
      <c r="L44" s="16">
        <f t="shared" si="5"/>
        <v>0</v>
      </c>
      <c r="M44" s="16">
        <f t="shared" si="6"/>
        <v>10604.246527777792</v>
      </c>
      <c r="N44" s="17">
        <f t="shared" si="24"/>
        <v>580416.66666666826</v>
      </c>
      <c r="O44" s="15">
        <f t="shared" si="7"/>
        <v>7250.3715277777974</v>
      </c>
      <c r="P44" s="16">
        <f t="shared" si="8"/>
        <v>0</v>
      </c>
      <c r="Q44" s="16">
        <f t="shared" si="9"/>
        <v>10167.038194444463</v>
      </c>
      <c r="R44" s="17">
        <f t="shared" si="25"/>
        <v>545416.66666666872</v>
      </c>
      <c r="S44" s="15">
        <f t="shared" si="10"/>
        <v>6813.1631944444698</v>
      </c>
      <c r="T44" s="16">
        <f t="shared" si="11"/>
        <v>0</v>
      </c>
      <c r="U44" s="16">
        <f t="shared" si="12"/>
        <v>9729.8298611111368</v>
      </c>
      <c r="V44" s="17">
        <f t="shared" si="26"/>
        <v>510416.6666666689</v>
      </c>
      <c r="W44" s="15">
        <f t="shared" si="13"/>
        <v>6375.9548611111386</v>
      </c>
      <c r="X44" s="16">
        <f t="shared" si="14"/>
        <v>0</v>
      </c>
      <c r="Y44" s="16">
        <f t="shared" si="15"/>
        <v>9292.6215277778047</v>
      </c>
      <c r="Z44" s="17">
        <f t="shared" si="27"/>
        <v>475416.66666666867</v>
      </c>
      <c r="AA44" s="15">
        <f t="shared" si="16"/>
        <v>5938.7465277778028</v>
      </c>
      <c r="AB44" s="16">
        <f t="shared" si="17"/>
        <v>0</v>
      </c>
      <c r="AC44" s="16">
        <f t="shared" si="18"/>
        <v>8855.4131944444689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682500.00000000023</v>
      </c>
      <c r="C45" s="15">
        <f t="shared" si="0"/>
        <v>2843.7500000000009</v>
      </c>
      <c r="D45" s="16">
        <f t="shared" si="20"/>
        <v>0</v>
      </c>
      <c r="E45" s="16">
        <f t="shared" si="21"/>
        <v>5760.4166666666679</v>
      </c>
      <c r="F45" s="17">
        <f t="shared" si="22"/>
        <v>647500.0000000007</v>
      </c>
      <c r="G45" s="15">
        <f t="shared" si="1"/>
        <v>8088.3541666666752</v>
      </c>
      <c r="H45" s="16">
        <f t="shared" si="2"/>
        <v>0</v>
      </c>
      <c r="I45" s="16">
        <f t="shared" si="3"/>
        <v>11005.020833333341</v>
      </c>
      <c r="J45" s="17">
        <f t="shared" si="23"/>
        <v>612500.00000000116</v>
      </c>
      <c r="K45" s="15">
        <f t="shared" si="4"/>
        <v>7651.1458333333476</v>
      </c>
      <c r="L45" s="16">
        <f t="shared" si="5"/>
        <v>0</v>
      </c>
      <c r="M45" s="16">
        <f t="shared" si="6"/>
        <v>10567.812500000015</v>
      </c>
      <c r="N45" s="17">
        <f t="shared" si="24"/>
        <v>577500.00000000163</v>
      </c>
      <c r="O45" s="15">
        <f t="shared" si="7"/>
        <v>7213.93750000002</v>
      </c>
      <c r="P45" s="16">
        <f t="shared" si="8"/>
        <v>0</v>
      </c>
      <c r="Q45" s="16">
        <f t="shared" si="9"/>
        <v>10130.604166666686</v>
      </c>
      <c r="R45" s="17">
        <f t="shared" si="25"/>
        <v>542500.0000000021</v>
      </c>
      <c r="S45" s="15">
        <f t="shared" si="10"/>
        <v>6776.7291666666924</v>
      </c>
      <c r="T45" s="16">
        <f t="shared" si="11"/>
        <v>0</v>
      </c>
      <c r="U45" s="16">
        <f t="shared" si="12"/>
        <v>9693.3958333333594</v>
      </c>
      <c r="V45" s="17">
        <f t="shared" si="26"/>
        <v>507500.00000000221</v>
      </c>
      <c r="W45" s="15">
        <f t="shared" si="13"/>
        <v>6339.5208333333612</v>
      </c>
      <c r="X45" s="16">
        <f t="shared" si="14"/>
        <v>0</v>
      </c>
      <c r="Y45" s="16">
        <f t="shared" si="15"/>
        <v>9256.1875000000273</v>
      </c>
      <c r="Z45" s="17">
        <f t="shared" si="27"/>
        <v>472500.00000000198</v>
      </c>
      <c r="AA45" s="15">
        <f t="shared" si="16"/>
        <v>5902.3125000000246</v>
      </c>
      <c r="AB45" s="16">
        <f t="shared" si="17"/>
        <v>0</v>
      </c>
      <c r="AC45" s="16">
        <f t="shared" si="18"/>
        <v>8818.9791666666915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679583.3333333336</v>
      </c>
      <c r="C46" s="15">
        <f t="shared" si="0"/>
        <v>2831.5972222222235</v>
      </c>
      <c r="D46" s="16">
        <f t="shared" si="20"/>
        <v>0</v>
      </c>
      <c r="E46" s="16">
        <f t="shared" si="21"/>
        <v>5748.2638888888905</v>
      </c>
      <c r="F46" s="17">
        <f t="shared" si="22"/>
        <v>644583.33333333407</v>
      </c>
      <c r="G46" s="15">
        <f t="shared" si="1"/>
        <v>8051.9201388888978</v>
      </c>
      <c r="H46" s="16">
        <f t="shared" si="2"/>
        <v>0</v>
      </c>
      <c r="I46" s="16">
        <f t="shared" si="3"/>
        <v>10968.586805555564</v>
      </c>
      <c r="J46" s="17">
        <f t="shared" si="23"/>
        <v>609583.33333333454</v>
      </c>
      <c r="K46" s="15">
        <f t="shared" si="4"/>
        <v>7614.7118055555702</v>
      </c>
      <c r="L46" s="16">
        <f t="shared" si="5"/>
        <v>0</v>
      </c>
      <c r="M46" s="16">
        <f t="shared" si="6"/>
        <v>10531.378472222237</v>
      </c>
      <c r="N46" s="17">
        <f t="shared" si="24"/>
        <v>574583.333333335</v>
      </c>
      <c r="O46" s="15">
        <f t="shared" si="7"/>
        <v>7177.5034722222426</v>
      </c>
      <c r="P46" s="16">
        <f t="shared" si="8"/>
        <v>0</v>
      </c>
      <c r="Q46" s="16">
        <f t="shared" si="9"/>
        <v>10094.170138888909</v>
      </c>
      <c r="R46" s="17">
        <f t="shared" si="25"/>
        <v>539583.33333333547</v>
      </c>
      <c r="S46" s="15">
        <f t="shared" si="10"/>
        <v>6740.2951388889151</v>
      </c>
      <c r="T46" s="16">
        <f t="shared" si="11"/>
        <v>0</v>
      </c>
      <c r="U46" s="16">
        <f t="shared" si="12"/>
        <v>9656.961805555582</v>
      </c>
      <c r="V46" s="17">
        <f t="shared" si="26"/>
        <v>504583.33333333553</v>
      </c>
      <c r="W46" s="15">
        <f t="shared" si="13"/>
        <v>6303.0868055555829</v>
      </c>
      <c r="X46" s="16">
        <f t="shared" si="14"/>
        <v>0</v>
      </c>
      <c r="Y46" s="16">
        <f t="shared" si="15"/>
        <v>9219.7534722222499</v>
      </c>
      <c r="Z46" s="17">
        <f t="shared" si="27"/>
        <v>469583.33333333529</v>
      </c>
      <c r="AA46" s="15">
        <f t="shared" si="16"/>
        <v>5865.8784722222463</v>
      </c>
      <c r="AB46" s="16">
        <f t="shared" si="17"/>
        <v>0</v>
      </c>
      <c r="AC46" s="16">
        <f t="shared" si="18"/>
        <v>8782.5451388889123</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676666.66666666698</v>
      </c>
      <c r="C47" s="15">
        <f t="shared" si="0"/>
        <v>2819.4444444444457</v>
      </c>
      <c r="D47" s="16">
        <f t="shared" si="20"/>
        <v>0</v>
      </c>
      <c r="E47" s="16">
        <f t="shared" si="21"/>
        <v>5736.1111111111122</v>
      </c>
      <c r="F47" s="17">
        <f t="shared" si="22"/>
        <v>641666.66666666744</v>
      </c>
      <c r="G47" s="15">
        <f t="shared" si="1"/>
        <v>8015.4861111111204</v>
      </c>
      <c r="H47" s="16">
        <f t="shared" si="2"/>
        <v>0</v>
      </c>
      <c r="I47" s="16">
        <f t="shared" si="3"/>
        <v>10932.152777777786</v>
      </c>
      <c r="J47" s="17">
        <f t="shared" si="23"/>
        <v>606666.66666666791</v>
      </c>
      <c r="K47" s="15">
        <f t="shared" si="4"/>
        <v>7578.2777777777928</v>
      </c>
      <c r="L47" s="16">
        <f t="shared" si="5"/>
        <v>0</v>
      </c>
      <c r="M47" s="16">
        <f t="shared" si="6"/>
        <v>10494.94444444446</v>
      </c>
      <c r="N47" s="17">
        <f t="shared" si="24"/>
        <v>571666.66666666837</v>
      </c>
      <c r="O47" s="15">
        <f t="shared" si="7"/>
        <v>7141.0694444444653</v>
      </c>
      <c r="P47" s="16">
        <f t="shared" si="8"/>
        <v>0</v>
      </c>
      <c r="Q47" s="16">
        <f t="shared" si="9"/>
        <v>10057.736111111131</v>
      </c>
      <c r="R47" s="17">
        <f t="shared" si="25"/>
        <v>536666.66666666884</v>
      </c>
      <c r="S47" s="15">
        <f t="shared" si="10"/>
        <v>6703.8611111111386</v>
      </c>
      <c r="T47" s="16">
        <f t="shared" si="11"/>
        <v>0</v>
      </c>
      <c r="U47" s="16">
        <f t="shared" si="12"/>
        <v>9620.5277777778047</v>
      </c>
      <c r="V47" s="17">
        <f t="shared" si="26"/>
        <v>501666.66666666884</v>
      </c>
      <c r="W47" s="15">
        <f t="shared" si="13"/>
        <v>6266.6527777778047</v>
      </c>
      <c r="X47" s="16">
        <f t="shared" si="14"/>
        <v>0</v>
      </c>
      <c r="Y47" s="16">
        <f t="shared" si="15"/>
        <v>9183.3194444444707</v>
      </c>
      <c r="Z47" s="17">
        <f t="shared" si="27"/>
        <v>466666.66666666861</v>
      </c>
      <c r="AA47" s="15">
        <f t="shared" si="16"/>
        <v>5829.4444444444689</v>
      </c>
      <c r="AB47" s="16">
        <f t="shared" si="17"/>
        <v>0</v>
      </c>
      <c r="AC47" s="16">
        <f t="shared" si="18"/>
        <v>8746.111111111135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673750.00000000035</v>
      </c>
      <c r="C48" s="15">
        <f t="shared" si="0"/>
        <v>2807.2916666666679</v>
      </c>
      <c r="D48" s="16">
        <f t="shared" si="20"/>
        <v>0</v>
      </c>
      <c r="E48" s="16">
        <f t="shared" si="21"/>
        <v>5723.9583333333339</v>
      </c>
      <c r="F48" s="17">
        <f t="shared" si="22"/>
        <v>638750.00000000081</v>
      </c>
      <c r="G48" s="15">
        <f t="shared" si="1"/>
        <v>2661.4583333333367</v>
      </c>
      <c r="H48" s="16">
        <f t="shared" si="2"/>
        <v>0</v>
      </c>
      <c r="I48" s="16">
        <f t="shared" si="3"/>
        <v>5578.1250000000036</v>
      </c>
      <c r="J48" s="17">
        <f t="shared" si="23"/>
        <v>603750.00000000128</v>
      </c>
      <c r="K48" s="15">
        <f t="shared" si="4"/>
        <v>7541.8437500000164</v>
      </c>
      <c r="L48" s="16">
        <f t="shared" si="5"/>
        <v>0</v>
      </c>
      <c r="M48" s="16">
        <f t="shared" si="6"/>
        <v>10458.510416666682</v>
      </c>
      <c r="N48" s="17">
        <f t="shared" si="24"/>
        <v>568750.00000000175</v>
      </c>
      <c r="O48" s="15">
        <f t="shared" si="7"/>
        <v>7104.6354166666888</v>
      </c>
      <c r="P48" s="16">
        <f t="shared" si="8"/>
        <v>0</v>
      </c>
      <c r="Q48" s="16">
        <f t="shared" si="9"/>
        <v>10021.302083333356</v>
      </c>
      <c r="R48" s="17">
        <f t="shared" si="25"/>
        <v>533750.00000000221</v>
      </c>
      <c r="S48" s="15">
        <f t="shared" si="10"/>
        <v>6667.4270833333612</v>
      </c>
      <c r="T48" s="16">
        <f t="shared" si="11"/>
        <v>0</v>
      </c>
      <c r="U48" s="16">
        <f t="shared" si="12"/>
        <v>9584.0937500000273</v>
      </c>
      <c r="V48" s="17">
        <f t="shared" si="26"/>
        <v>498750.00000000215</v>
      </c>
      <c r="W48" s="15">
        <f t="shared" si="13"/>
        <v>6230.2187500000273</v>
      </c>
      <c r="X48" s="16">
        <f t="shared" si="14"/>
        <v>0</v>
      </c>
      <c r="Y48" s="16">
        <f t="shared" si="15"/>
        <v>9146.8854166666933</v>
      </c>
      <c r="Z48" s="17">
        <f t="shared" si="27"/>
        <v>463750.00000000192</v>
      </c>
      <c r="AA48" s="15">
        <f t="shared" si="16"/>
        <v>5793.0104166666906</v>
      </c>
      <c r="AB48" s="16">
        <f t="shared" si="17"/>
        <v>0</v>
      </c>
      <c r="AC48" s="16">
        <f t="shared" si="18"/>
        <v>8709.6770833333576</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670833.33333333372</v>
      </c>
      <c r="C49" s="15">
        <f t="shared" si="0"/>
        <v>2795.1388888888905</v>
      </c>
      <c r="D49" s="16">
        <f t="shared" si="20"/>
        <v>0</v>
      </c>
      <c r="E49" s="16">
        <f t="shared" si="21"/>
        <v>5711.8055555555566</v>
      </c>
      <c r="F49" s="17">
        <f t="shared" si="22"/>
        <v>635833.33333333419</v>
      </c>
      <c r="G49" s="15">
        <f t="shared" si="1"/>
        <v>2649.3055555555593</v>
      </c>
      <c r="H49" s="16">
        <f t="shared" si="2"/>
        <v>0</v>
      </c>
      <c r="I49" s="16">
        <f t="shared" si="3"/>
        <v>5565.9722222222263</v>
      </c>
      <c r="J49" s="17">
        <f t="shared" si="23"/>
        <v>600833.33333333465</v>
      </c>
      <c r="K49" s="15">
        <f t="shared" si="4"/>
        <v>7505.409722222239</v>
      </c>
      <c r="L49" s="16">
        <f t="shared" si="5"/>
        <v>0</v>
      </c>
      <c r="M49" s="16">
        <f t="shared" si="6"/>
        <v>10422.076388888905</v>
      </c>
      <c r="N49" s="17">
        <f t="shared" si="24"/>
        <v>565833.33333333512</v>
      </c>
      <c r="O49" s="15">
        <f t="shared" si="7"/>
        <v>7068.2013888889114</v>
      </c>
      <c r="P49" s="16">
        <f t="shared" si="8"/>
        <v>0</v>
      </c>
      <c r="Q49" s="16">
        <f t="shared" si="9"/>
        <v>9984.8680555555784</v>
      </c>
      <c r="R49" s="17">
        <f t="shared" si="25"/>
        <v>530833.33333333558</v>
      </c>
      <c r="S49" s="15">
        <f t="shared" si="10"/>
        <v>6630.9930555555839</v>
      </c>
      <c r="T49" s="16">
        <f t="shared" si="11"/>
        <v>0</v>
      </c>
      <c r="U49" s="16">
        <f t="shared" si="12"/>
        <v>9547.6597222222499</v>
      </c>
      <c r="V49" s="17">
        <f t="shared" si="26"/>
        <v>495833.33333333547</v>
      </c>
      <c r="W49" s="15">
        <f t="shared" si="13"/>
        <v>6193.784722222249</v>
      </c>
      <c r="X49" s="16">
        <f t="shared" si="14"/>
        <v>0</v>
      </c>
      <c r="Y49" s="16">
        <f t="shared" si="15"/>
        <v>9110.451388888916</v>
      </c>
      <c r="Z49" s="17">
        <f t="shared" si="27"/>
        <v>460833.33333333523</v>
      </c>
      <c r="AA49" s="15">
        <f t="shared" si="16"/>
        <v>5756.5763888889123</v>
      </c>
      <c r="AB49" s="16">
        <f t="shared" si="17"/>
        <v>0</v>
      </c>
      <c r="AC49" s="16">
        <f t="shared" si="18"/>
        <v>8673.2430555555784</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667916.66666666709</v>
      </c>
      <c r="C50" s="15">
        <f t="shared" si="0"/>
        <v>2782.9861111111127</v>
      </c>
      <c r="D50" s="16">
        <f t="shared" si="20"/>
        <v>0</v>
      </c>
      <c r="E50" s="16">
        <f t="shared" si="21"/>
        <v>5699.6527777777792</v>
      </c>
      <c r="F50" s="17">
        <f t="shared" si="22"/>
        <v>632916.66666666756</v>
      </c>
      <c r="G50" s="15">
        <f t="shared" si="1"/>
        <v>2637.1527777777815</v>
      </c>
      <c r="H50" s="16">
        <f t="shared" si="2"/>
        <v>0</v>
      </c>
      <c r="I50" s="16">
        <f t="shared" si="3"/>
        <v>5553.819444444448</v>
      </c>
      <c r="J50" s="17">
        <f t="shared" si="23"/>
        <v>597916.66666666802</v>
      </c>
      <c r="K50" s="15">
        <f t="shared" si="4"/>
        <v>7468.9756944444616</v>
      </c>
      <c r="L50" s="16">
        <f t="shared" si="5"/>
        <v>0</v>
      </c>
      <c r="M50" s="16">
        <f t="shared" si="6"/>
        <v>10385.642361111128</v>
      </c>
      <c r="N50" s="17">
        <f t="shared" si="24"/>
        <v>562916.66666666849</v>
      </c>
      <c r="O50" s="15">
        <f t="shared" si="7"/>
        <v>7031.7673611111341</v>
      </c>
      <c r="P50" s="16">
        <f t="shared" si="8"/>
        <v>0</v>
      </c>
      <c r="Q50" s="16">
        <f t="shared" si="9"/>
        <v>9948.434027777801</v>
      </c>
      <c r="R50" s="17">
        <f t="shared" si="25"/>
        <v>527916.66666666896</v>
      </c>
      <c r="S50" s="15">
        <f t="shared" si="10"/>
        <v>6594.5590277778065</v>
      </c>
      <c r="T50" s="16">
        <f t="shared" si="11"/>
        <v>0</v>
      </c>
      <c r="U50" s="16">
        <f t="shared" si="12"/>
        <v>9511.2256944444725</v>
      </c>
      <c r="V50" s="17">
        <f t="shared" si="26"/>
        <v>492916.66666666878</v>
      </c>
      <c r="W50" s="15">
        <f t="shared" si="13"/>
        <v>6157.3506944444707</v>
      </c>
      <c r="X50" s="16">
        <f t="shared" si="14"/>
        <v>0</v>
      </c>
      <c r="Y50" s="16">
        <f t="shared" si="15"/>
        <v>9074.0173611111368</v>
      </c>
      <c r="Z50" s="17">
        <f t="shared" si="27"/>
        <v>457916.66666666855</v>
      </c>
      <c r="AA50" s="15">
        <f t="shared" si="16"/>
        <v>5720.142361111135</v>
      </c>
      <c r="AB50" s="16">
        <f t="shared" si="17"/>
        <v>0</v>
      </c>
      <c r="AC50" s="16">
        <f t="shared" si="18"/>
        <v>8636.809027777801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34197.916666666672</v>
      </c>
      <c r="D51" s="21">
        <f>SUM(D39:D50)</f>
        <v>23170</v>
      </c>
      <c r="E51" s="21">
        <f>SUM(E39:E50)</f>
        <v>92367.916666666672</v>
      </c>
      <c r="F51" s="19"/>
      <c r="G51" s="20">
        <f>SUM(G39:G50)</f>
        <v>64863.385416666737</v>
      </c>
      <c r="H51" s="21">
        <f>SUM(H39:H50)</f>
        <v>7655.0000000000036</v>
      </c>
      <c r="I51" s="21">
        <f>SUM(I39:I50)</f>
        <v>107518.38541666673</v>
      </c>
      <c r="J51" s="19"/>
      <c r="K51" s="20">
        <f>SUM(K39:K50)</f>
        <v>92032.354166666832</v>
      </c>
      <c r="L51" s="21">
        <f>SUM(L39:L50)</f>
        <v>7410.0000000000064</v>
      </c>
      <c r="M51" s="21">
        <f>SUM(M39:M50)</f>
        <v>134442.35416666683</v>
      </c>
      <c r="N51" s="19"/>
      <c r="O51" s="20">
        <f>SUM(O39:O50)</f>
        <v>86785.854166666904</v>
      </c>
      <c r="P51" s="21">
        <f>SUM(P39:P50)</f>
        <v>7165.00000000001</v>
      </c>
      <c r="Q51" s="21">
        <f>SUM(Q39:Q50)</f>
        <v>128950.8541666669</v>
      </c>
      <c r="R51" s="19"/>
      <c r="S51" s="20">
        <f>SUM(S39:S50)</f>
        <v>81539.354166666977</v>
      </c>
      <c r="T51" s="21">
        <f>SUM(T39:T50)</f>
        <v>6920.0000000000127</v>
      </c>
      <c r="U51" s="21">
        <f>SUM(U39:U50)</f>
        <v>123459.35416666698</v>
      </c>
      <c r="V51" s="19"/>
      <c r="W51" s="20">
        <f>SUM(W39:W50)</f>
        <v>76292.854166666992</v>
      </c>
      <c r="X51" s="21">
        <f>SUM(X39:X50)</f>
        <v>6675.0000000000164</v>
      </c>
      <c r="Y51" s="21">
        <f>SUM(Y39:Y50)</f>
        <v>117967.85416666701</v>
      </c>
      <c r="Z51" s="19"/>
      <c r="AA51" s="20">
        <f>SUM(AA39:AA50)</f>
        <v>71046.354166666963</v>
      </c>
      <c r="AB51" s="21">
        <f>SUM(AB39:AB50)</f>
        <v>6430.0000000000146</v>
      </c>
      <c r="AC51" s="21">
        <f>SUM(AC39:AC50)</f>
        <v>112476.35416666698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51" t="s">
        <v>33</v>
      </c>
      <c r="B52" s="48" t="s">
        <v>58</v>
      </c>
      <c r="C52" s="49"/>
      <c r="D52" s="50"/>
      <c r="E52" s="35"/>
      <c r="F52" s="48" t="s">
        <v>59</v>
      </c>
      <c r="G52" s="49"/>
      <c r="H52" s="49"/>
      <c r="I52" s="50"/>
      <c r="J52" s="48" t="s">
        <v>60</v>
      </c>
      <c r="K52" s="49"/>
      <c r="L52" s="49"/>
      <c r="M52" s="50"/>
      <c r="N52" s="48" t="s">
        <v>61</v>
      </c>
      <c r="O52" s="49"/>
      <c r="P52" s="49"/>
      <c r="Q52" s="50"/>
      <c r="R52" s="48" t="s">
        <v>62</v>
      </c>
      <c r="S52" s="49"/>
      <c r="T52" s="49"/>
      <c r="U52" s="50"/>
      <c r="V52" s="48" t="s">
        <v>63</v>
      </c>
      <c r="W52" s="49"/>
      <c r="X52" s="49"/>
      <c r="Y52" s="50"/>
      <c r="Z52" s="48" t="s">
        <v>64</v>
      </c>
      <c r="AA52" s="49"/>
      <c r="AB52" s="49"/>
      <c r="AC52" s="50"/>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52"/>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455000.00000000186</v>
      </c>
      <c r="C54" s="15">
        <f t="shared" ref="C54:C65" si="28">IF(LEFT($A54,1)*1+LEFT(B$52,1)*12-12&lt;=$J$15,B54*($J$14/12),B54*($J$16/12))</f>
        <v>5683.7083333333567</v>
      </c>
      <c r="D54" s="16">
        <f t="shared" ref="D54:D65" si="29">IF(AND($A54="1 міс.",B54&gt;0),$J$28*$J$6+$J$29*B54,0)+IF(B54-IF(data2=1,IF(C54&gt;0.001,C54+sumproplat2,0),IF(B54&gt;sumproplat2*2,sumproplat2,B54+C54))&lt;0,$J$31,0)</f>
        <v>6185.0000000000127</v>
      </c>
      <c r="E54" s="16">
        <f t="shared" ref="E54:E65" si="30">IF(data2=1,IF(C54&gt;0.001,C54+D54+sumproplat2,0),IF(B54&gt;sumproplat2*2,sumproplat2+D54,B54+C54+D54))</f>
        <v>14785.375000000035</v>
      </c>
      <c r="F54" s="17">
        <f>IF(data2=1,IF((B65-sumproplat2)&gt;1,B65-sumproplat2,0),IF(B65-(sumproplat2-C65-D65)&gt;0,B65-(E65-C65-D65),0))</f>
        <v>420000.00000000163</v>
      </c>
      <c r="G54" s="15">
        <f>IF(LEFT($A54,1)*1+LEFT(F$52,1)*12-12&lt;=$J$15,F54*($J$14/12),F54*($J$16/12))</f>
        <v>5246.50000000002</v>
      </c>
      <c r="H54" s="16">
        <f t="shared" ref="H54:H65" si="31">IF(AND($A54="1 міс.",F54&gt;0),$J$28*$J$6+$J$29*F54,0)+IF(F54-IF(data2=1,IF(G54&gt;0.001,G54+sumproplat2,0),IF(F54&gt;sumproplat2*2,sumproplat2,F54+G54))&lt;0,$J$31,0)</f>
        <v>5940.0000000000109</v>
      </c>
      <c r="I54" s="16">
        <f t="shared" ref="I54:I65" si="32">IF(data2=1,IF(G54&gt;0.001,G54+H54+sumproplat2,0),IF(F54&gt;sumproplat2*2,sumproplat2+H54,F54+G54+H54))</f>
        <v>14103.166666666697</v>
      </c>
      <c r="J54" s="17">
        <f>IF(data2=1,IF((F65-sumproplat2)&gt;1,F65-sumproplat2,0),IF(F65-(sumproplat2-G65-H65)&gt;0,F65-(I65-G65-H65),0))</f>
        <v>385000.0000000014</v>
      </c>
      <c r="K54" s="15">
        <f>IF(LEFT($A54,1)*1+LEFT(J$52,2)*12-12&lt;=$J$15,J54*($J$14/12),J54*($J$16/12))</f>
        <v>4809.2916666666843</v>
      </c>
      <c r="L54" s="16">
        <f t="shared" ref="L54:L65" si="33">IF(AND($A54="1 міс.",J54&gt;0),$J$28*$J$6+$J$29*J54,0)+IF(J54-IF(data2=1,IF(K54&gt;0.001,K54+sumproplat2,0),IF(J54&gt;sumproplat2*2,sumproplat2,J54+K54))&lt;0,$J$31,0)</f>
        <v>5695.00000000001</v>
      </c>
      <c r="M54" s="16">
        <f t="shared" ref="M54:M65" si="34">IF(data2=1,IF(K54&gt;0.001,K54+L54+sumproplat2,0),IF(J54&gt;sumproplat2*2,sumproplat2+L54,J54+K54+L54))</f>
        <v>13420.958333333359</v>
      </c>
      <c r="N54" s="17">
        <f>IF(data2=1,IF((J65-sumproplat2)&gt;1,J65-sumproplat2,0),IF(J65-(sumproplat2-K65-L65)&gt;0,J65-(M65-K65-L65),0))</f>
        <v>350000.00000000116</v>
      </c>
      <c r="O54" s="15">
        <f>IF(LEFT($A54,1)*1+LEFT(N$52,2)*12-12&lt;=$J$15,N54*($J$14/12),N54*($J$16/12))</f>
        <v>4372.0833333333476</v>
      </c>
      <c r="P54" s="16">
        <f t="shared" ref="P54:P65" si="35">IF(AND($A54="1 міс.",N54&gt;0),$J$28*$J$6+$J$29*N54,0)+IF(N54-IF(data2=1,IF(O54&gt;0.001,O54+sumproplat2,0),IF(N54&gt;sumproplat2*2,sumproplat2,N54+O54))&lt;0,$J$31,0)</f>
        <v>5450.0000000000082</v>
      </c>
      <c r="Q54" s="16">
        <f t="shared" ref="Q54:Q65" si="36">IF(data2=1,IF(O54&gt;0.001,O54+P54+sumproplat2,0),IF(N54&gt;sumproplat2*2,sumproplat2+P54,N54+O54+P54))</f>
        <v>12738.750000000022</v>
      </c>
      <c r="R54" s="17">
        <f>IF(data2=1,IF((N65-sumproplat2)&gt;1,N65-sumproplat2,0),IF(N65-(sumproplat2-O65-P65)&gt;0,N65-(Q65-O65-P65),0))</f>
        <v>315000.00000000093</v>
      </c>
      <c r="S54" s="15">
        <f>IF(LEFT($A54,1)*1+LEFT(R$52,2)*12-12&lt;=$J$15,R54*($J$14/12),R54*($J$16/12))</f>
        <v>3934.8750000000114</v>
      </c>
      <c r="T54" s="16">
        <f t="shared" ref="T54:T65" si="37">IF(AND($A54="1 міс.",R54&gt;0),$J$28*$J$6+$J$29*R54,0)+IF(R54-IF(data2=1,IF(S54&gt;0.001,S54+sumproplat2,0),IF(R54&gt;sumproplat2*2,sumproplat2,R54+S54))&lt;0,$J$31,0)</f>
        <v>5205.0000000000064</v>
      </c>
      <c r="U54" s="16">
        <f t="shared" ref="U54:U65" si="38">IF(data2=1,IF(S54&gt;0.001,S54+T54+sumproplat2,0),IF(R54&gt;sumproplat2*2,sumproplat2+T54,R54+S54+T54))</f>
        <v>12056.541666666684</v>
      </c>
      <c r="V54" s="17">
        <f>IF(data2=1,IF((R65-sumproplat2)&gt;1,R65-sumproplat2,0),IF(R65-(sumproplat2-S65-T65)&gt;0,R65-(U65-S65-T65),0))</f>
        <v>280000.0000000007</v>
      </c>
      <c r="W54" s="15">
        <f>IF(LEFT($A54,1)*1+LEFT(V$52,2)*12-12&lt;=$J$15,V54*($J$14/12),V54*($J$16/12))</f>
        <v>3497.6666666666752</v>
      </c>
      <c r="X54" s="16">
        <f t="shared" ref="X54:X65" si="39">IF(AND($A54="1 міс.",V54&gt;0),$J$28*$J$6+$J$29*V54,0)+IF(V54-IF(data2=1,IF(W54&gt;0.001,W54+sumproplat2,0),IF(V54&gt;sumproplat2*2,sumproplat2,V54+W54))&lt;0,$J$31,0)</f>
        <v>4960.0000000000055</v>
      </c>
      <c r="Y54" s="16">
        <f t="shared" ref="Y54:Y65" si="40">IF(data2=1,IF(W54&gt;0.001,W54+X54+sumproplat2,0),IF(V54&gt;sumproplat2*2,sumproplat2+X54,V54+W54+X54))</f>
        <v>11374.333333333347</v>
      </c>
      <c r="Z54" s="17">
        <f>IF(data2=1,IF((V65-sumproplat2)&gt;1,V65-sumproplat2,0),IF(V65-(sumproplat2-W65-X65)&gt;0,V65-(Y65-W65-X65),0))</f>
        <v>245000.00000000064</v>
      </c>
      <c r="AA54" s="15">
        <f>IF(LEFT($A54,1)*1+LEFT(Z$52,2)*12-12&lt;=$J$15,Z54*($J$14/12),Z54*($J$16/12))</f>
        <v>3060.4583333333412</v>
      </c>
      <c r="AB54" s="16">
        <f t="shared" ref="AB54:AB65" si="41">IF(AND($A54="1 міс.",Z54&gt;0),$J$28*$J$6+$J$29*Z54,0)+IF(Z54-IF(data2=1,IF(AA54&gt;0.001,AA54+sumproplat2,0),IF(Z54&gt;sumproplat2*2,sumproplat2,Z54+AA54))&lt;0,$J$31,0)</f>
        <v>4715.0000000000045</v>
      </c>
      <c r="AC54" s="16">
        <f t="shared" ref="AC54:AC65" si="42">IF(data2=1,IF(AA54&gt;0.001,AA54+AB54+sumproplat2,0),IF(Z54&gt;sumproplat2*2,sumproplat2+AB54,Z54+AA54+AB54))</f>
        <v>10692.125000000013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452083.33333333518</v>
      </c>
      <c r="C55" s="15">
        <f t="shared" si="28"/>
        <v>5647.2743055555784</v>
      </c>
      <c r="D55" s="16">
        <f t="shared" si="29"/>
        <v>0</v>
      </c>
      <c r="E55" s="16">
        <f t="shared" si="30"/>
        <v>8563.9409722222445</v>
      </c>
      <c r="F55" s="17">
        <f t="shared" ref="F55:F65" si="44">IF(data2=1,IF((F54-sumproplat2)&gt;1,F54-sumproplat2,0),IF(F54-(sumproplat2-G54-H54)&gt;0,F54-(I54-G54-H54),0))</f>
        <v>417083.33333333494</v>
      </c>
      <c r="G55" s="15">
        <f t="shared" ref="G55:G64" si="45">IF(LEFT($A55,1)*1+LEFT(F$52,1)*12-12&lt;=$J$15,F55*($J$14/12),F55*($J$16/12))</f>
        <v>5210.0659722222426</v>
      </c>
      <c r="H55" s="16">
        <f t="shared" si="31"/>
        <v>0</v>
      </c>
      <c r="I55" s="16">
        <f t="shared" si="32"/>
        <v>8126.7326388889087</v>
      </c>
      <c r="J55" s="17">
        <f t="shared" ref="J55:J65" si="46">IF(data2=1,IF((J54-sumproplat2)&gt;1,J54-sumproplat2,0),IF(J54-(sumproplat2-K54-L54)&gt;0,J54-(M54-K54-L54),0))</f>
        <v>382083.33333333471</v>
      </c>
      <c r="K55" s="15">
        <f t="shared" ref="K55:K65" si="47">IF(LEFT($A55,1)*1+LEFT(J$52,2)*12-12&lt;=$J$15,J55*($J$14/12),J55*($J$16/12))</f>
        <v>4772.857638888906</v>
      </c>
      <c r="L55" s="16">
        <f t="shared" si="33"/>
        <v>0</v>
      </c>
      <c r="M55" s="16">
        <f t="shared" si="34"/>
        <v>7689.5243055555729</v>
      </c>
      <c r="N55" s="17">
        <f t="shared" ref="N55:N65" si="48">IF(data2=1,IF((N54-sumproplat2)&gt;1,N54-sumproplat2,0),IF(N54-(sumproplat2-O54-P54)&gt;0,N54-(Q54-O54-P54),0))</f>
        <v>347083.33333333448</v>
      </c>
      <c r="O55" s="15">
        <f t="shared" ref="O55:O65" si="49">IF(LEFT($A55,1)*1+LEFT(N$52,2)*12-12&lt;=$J$15,N55*($J$14/12),N55*($J$16/12))</f>
        <v>4335.6493055555702</v>
      </c>
      <c r="P55" s="16">
        <f t="shared" si="35"/>
        <v>0</v>
      </c>
      <c r="Q55" s="16">
        <f t="shared" si="36"/>
        <v>7252.3159722222372</v>
      </c>
      <c r="R55" s="17">
        <f t="shared" ref="R55:R65" si="50">IF(data2=1,IF((R54-sumproplat2)&gt;1,R54-sumproplat2,0),IF(R54-(sumproplat2-S54-T54)&gt;0,R54-(U54-S54-T54),0))</f>
        <v>312083.33333333425</v>
      </c>
      <c r="S55" s="15">
        <f t="shared" ref="S55:S65" si="51">IF(LEFT($A55,1)*1+LEFT(R$52,2)*12-12&lt;=$J$15,R55*($J$14/12),R55*($J$16/12))</f>
        <v>3898.4409722222335</v>
      </c>
      <c r="T55" s="16">
        <f t="shared" si="37"/>
        <v>0</v>
      </c>
      <c r="U55" s="16">
        <f t="shared" si="38"/>
        <v>6815.1076388888996</v>
      </c>
      <c r="V55" s="17">
        <f t="shared" ref="V55:V65" si="52">IF(data2=1,IF((V54-sumproplat2)&gt;1,V54-sumproplat2,0),IF(V54-(sumproplat2-W54-X54)&gt;0,V54-(Y54-W54-X54),0))</f>
        <v>277083.33333333401</v>
      </c>
      <c r="W55" s="15">
        <f t="shared" ref="W55:W65" si="53">IF(LEFT($A55,1)*1+LEFT(V$52,2)*12-12&lt;=$J$15,V55*($J$14/12),V55*($J$16/12))</f>
        <v>3461.2326388888973</v>
      </c>
      <c r="X55" s="16">
        <f t="shared" si="39"/>
        <v>0</v>
      </c>
      <c r="Y55" s="16">
        <f t="shared" si="40"/>
        <v>6377.8993055555638</v>
      </c>
      <c r="Z55" s="17">
        <f t="shared" ref="Z55:Z65" si="54">IF(data2=1,IF((Z54-sumproplat2)&gt;1,Z54-sumproplat2,0),IF(Z54-(sumproplat2-AA54-AB54)&gt;0,Z54-(AC54-AA54-AB54),0))</f>
        <v>242083.33333333398</v>
      </c>
      <c r="AA55" s="15">
        <f t="shared" ref="AA55:AA65" si="55">IF(LEFT($A55,1)*1+LEFT(Z$52,2)*12-12&lt;=$J$15,Z55*($J$14/12),Z55*($J$16/12))</f>
        <v>3024.0243055555638</v>
      </c>
      <c r="AB55" s="16">
        <f t="shared" si="41"/>
        <v>0</v>
      </c>
      <c r="AC55" s="16">
        <f t="shared" si="42"/>
        <v>5940.6909722222299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449166.66666666849</v>
      </c>
      <c r="C56" s="15">
        <f t="shared" si="28"/>
        <v>5610.8402777778001</v>
      </c>
      <c r="D56" s="16">
        <f t="shared" si="29"/>
        <v>0</v>
      </c>
      <c r="E56" s="16">
        <f t="shared" si="30"/>
        <v>8527.5069444444671</v>
      </c>
      <c r="F56" s="17">
        <f t="shared" si="44"/>
        <v>414166.66666666826</v>
      </c>
      <c r="G56" s="15">
        <f t="shared" si="45"/>
        <v>5173.6319444444644</v>
      </c>
      <c r="H56" s="16">
        <f t="shared" si="31"/>
        <v>0</v>
      </c>
      <c r="I56" s="16">
        <f t="shared" si="32"/>
        <v>8090.2986111111313</v>
      </c>
      <c r="J56" s="17">
        <f t="shared" si="46"/>
        <v>379166.66666666802</v>
      </c>
      <c r="K56" s="15">
        <f t="shared" si="47"/>
        <v>4736.4236111111277</v>
      </c>
      <c r="L56" s="16">
        <f t="shared" si="33"/>
        <v>0</v>
      </c>
      <c r="M56" s="16">
        <f t="shared" si="34"/>
        <v>7653.0902777777937</v>
      </c>
      <c r="N56" s="17">
        <f t="shared" si="48"/>
        <v>344166.66666666779</v>
      </c>
      <c r="O56" s="15">
        <f t="shared" si="49"/>
        <v>4299.2152777777919</v>
      </c>
      <c r="P56" s="16">
        <f t="shared" si="35"/>
        <v>0</v>
      </c>
      <c r="Q56" s="16">
        <f t="shared" si="36"/>
        <v>7215.881944444458</v>
      </c>
      <c r="R56" s="17">
        <f t="shared" si="50"/>
        <v>309166.66666666756</v>
      </c>
      <c r="S56" s="15">
        <f t="shared" si="51"/>
        <v>3862.0069444444557</v>
      </c>
      <c r="T56" s="16">
        <f t="shared" si="37"/>
        <v>0</v>
      </c>
      <c r="U56" s="16">
        <f t="shared" si="38"/>
        <v>6778.6736111111222</v>
      </c>
      <c r="V56" s="17">
        <f t="shared" si="52"/>
        <v>274166.66666666733</v>
      </c>
      <c r="W56" s="15">
        <f t="shared" si="53"/>
        <v>3424.7986111111195</v>
      </c>
      <c r="X56" s="16">
        <f t="shared" si="39"/>
        <v>0</v>
      </c>
      <c r="Y56" s="16">
        <f t="shared" si="40"/>
        <v>6341.4652777777865</v>
      </c>
      <c r="Z56" s="17">
        <f t="shared" si="54"/>
        <v>239166.66666666733</v>
      </c>
      <c r="AA56" s="15">
        <f t="shared" si="55"/>
        <v>2987.590277777786</v>
      </c>
      <c r="AB56" s="16">
        <f t="shared" si="41"/>
        <v>0</v>
      </c>
      <c r="AC56" s="16">
        <f t="shared" si="42"/>
        <v>5904.2569444444525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446250.0000000018</v>
      </c>
      <c r="C57" s="15">
        <f t="shared" si="28"/>
        <v>5574.4062500000227</v>
      </c>
      <c r="D57" s="16">
        <f t="shared" si="29"/>
        <v>0</v>
      </c>
      <c r="E57" s="16">
        <f t="shared" si="30"/>
        <v>8491.0729166666897</v>
      </c>
      <c r="F57" s="17">
        <f t="shared" si="44"/>
        <v>411250.00000000157</v>
      </c>
      <c r="G57" s="15">
        <f t="shared" si="45"/>
        <v>5137.1979166666861</v>
      </c>
      <c r="H57" s="16">
        <f t="shared" si="31"/>
        <v>0</v>
      </c>
      <c r="I57" s="16">
        <f t="shared" si="32"/>
        <v>8053.8645833333521</v>
      </c>
      <c r="J57" s="17">
        <f t="shared" si="46"/>
        <v>376250.00000000134</v>
      </c>
      <c r="K57" s="15">
        <f t="shared" si="47"/>
        <v>4699.9895833333503</v>
      </c>
      <c r="L57" s="16">
        <f t="shared" si="33"/>
        <v>0</v>
      </c>
      <c r="M57" s="16">
        <f t="shared" si="34"/>
        <v>7616.6562500000164</v>
      </c>
      <c r="N57" s="17">
        <f t="shared" si="48"/>
        <v>341250.00000000111</v>
      </c>
      <c r="O57" s="15">
        <f t="shared" si="49"/>
        <v>4262.7812500000136</v>
      </c>
      <c r="P57" s="16">
        <f t="shared" si="35"/>
        <v>0</v>
      </c>
      <c r="Q57" s="16">
        <f t="shared" si="36"/>
        <v>7179.4479166666806</v>
      </c>
      <c r="R57" s="17">
        <f t="shared" si="50"/>
        <v>306250.00000000087</v>
      </c>
      <c r="S57" s="15">
        <f t="shared" si="51"/>
        <v>3825.5729166666774</v>
      </c>
      <c r="T57" s="16">
        <f t="shared" si="37"/>
        <v>0</v>
      </c>
      <c r="U57" s="16">
        <f t="shared" si="38"/>
        <v>6742.2395833333439</v>
      </c>
      <c r="V57" s="17">
        <f t="shared" si="52"/>
        <v>271250.00000000064</v>
      </c>
      <c r="W57" s="15">
        <f t="shared" si="53"/>
        <v>3388.3645833333412</v>
      </c>
      <c r="X57" s="16">
        <f t="shared" si="39"/>
        <v>0</v>
      </c>
      <c r="Y57" s="16">
        <f t="shared" si="40"/>
        <v>6305.0312500000073</v>
      </c>
      <c r="Z57" s="17">
        <f t="shared" si="54"/>
        <v>236250.00000000067</v>
      </c>
      <c r="AA57" s="15">
        <f t="shared" si="55"/>
        <v>2951.1562500000082</v>
      </c>
      <c r="AB57" s="16">
        <f t="shared" si="41"/>
        <v>0</v>
      </c>
      <c r="AC57" s="16">
        <f t="shared" si="42"/>
        <v>5867.8229166666752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443333.33333333512</v>
      </c>
      <c r="C58" s="15">
        <f t="shared" si="28"/>
        <v>5537.9722222222445</v>
      </c>
      <c r="D58" s="16">
        <f t="shared" si="29"/>
        <v>0</v>
      </c>
      <c r="E58" s="16">
        <f t="shared" si="30"/>
        <v>8454.6388888889105</v>
      </c>
      <c r="F58" s="17">
        <f t="shared" si="44"/>
        <v>408333.33333333489</v>
      </c>
      <c r="G58" s="15">
        <f t="shared" si="45"/>
        <v>5100.7638888889078</v>
      </c>
      <c r="H58" s="16">
        <f t="shared" si="31"/>
        <v>0</v>
      </c>
      <c r="I58" s="16">
        <f t="shared" si="32"/>
        <v>8017.4305555555748</v>
      </c>
      <c r="J58" s="17">
        <f t="shared" si="46"/>
        <v>373333.33333333465</v>
      </c>
      <c r="K58" s="15">
        <f t="shared" si="47"/>
        <v>4663.555555555572</v>
      </c>
      <c r="L58" s="16">
        <f t="shared" si="33"/>
        <v>0</v>
      </c>
      <c r="M58" s="16">
        <f t="shared" si="34"/>
        <v>7580.222222222239</v>
      </c>
      <c r="N58" s="17">
        <f t="shared" si="48"/>
        <v>338333.33333333442</v>
      </c>
      <c r="O58" s="15">
        <f t="shared" si="49"/>
        <v>4226.3472222222354</v>
      </c>
      <c r="P58" s="16">
        <f t="shared" si="35"/>
        <v>0</v>
      </c>
      <c r="Q58" s="16">
        <f t="shared" si="36"/>
        <v>7143.0138888889014</v>
      </c>
      <c r="R58" s="17">
        <f t="shared" si="50"/>
        <v>303333.33333333419</v>
      </c>
      <c r="S58" s="15">
        <f t="shared" si="51"/>
        <v>3789.1388888888996</v>
      </c>
      <c r="T58" s="16">
        <f t="shared" si="37"/>
        <v>0</v>
      </c>
      <c r="U58" s="16">
        <f t="shared" si="38"/>
        <v>6705.8055555555657</v>
      </c>
      <c r="V58" s="17">
        <f t="shared" si="52"/>
        <v>268333.33333333395</v>
      </c>
      <c r="W58" s="15">
        <f t="shared" si="53"/>
        <v>3351.9305555555634</v>
      </c>
      <c r="X58" s="16">
        <f t="shared" si="39"/>
        <v>0</v>
      </c>
      <c r="Y58" s="16">
        <f t="shared" si="40"/>
        <v>6268.5972222222299</v>
      </c>
      <c r="Z58" s="17">
        <f t="shared" si="54"/>
        <v>233333.33333333401</v>
      </c>
      <c r="AA58" s="15">
        <f t="shared" si="55"/>
        <v>2914.7222222222308</v>
      </c>
      <c r="AB58" s="16">
        <f t="shared" si="41"/>
        <v>0</v>
      </c>
      <c r="AC58" s="16">
        <f t="shared" si="42"/>
        <v>5831.3888888888978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440416.66666666843</v>
      </c>
      <c r="C59" s="15">
        <f t="shared" si="28"/>
        <v>5501.5381944444662</v>
      </c>
      <c r="D59" s="16">
        <f t="shared" si="29"/>
        <v>0</v>
      </c>
      <c r="E59" s="16">
        <f t="shared" si="30"/>
        <v>8418.2048611111331</v>
      </c>
      <c r="F59" s="17">
        <f t="shared" si="44"/>
        <v>405416.6666666682</v>
      </c>
      <c r="G59" s="15">
        <f t="shared" si="45"/>
        <v>5064.3298611111304</v>
      </c>
      <c r="H59" s="16">
        <f t="shared" si="31"/>
        <v>0</v>
      </c>
      <c r="I59" s="16">
        <f t="shared" si="32"/>
        <v>7980.9965277777974</v>
      </c>
      <c r="J59" s="17">
        <f t="shared" si="46"/>
        <v>370416.66666666797</v>
      </c>
      <c r="K59" s="15">
        <f t="shared" si="47"/>
        <v>4627.1215277777937</v>
      </c>
      <c r="L59" s="16">
        <f t="shared" si="33"/>
        <v>0</v>
      </c>
      <c r="M59" s="16">
        <f t="shared" si="34"/>
        <v>7543.7881944444598</v>
      </c>
      <c r="N59" s="17">
        <f t="shared" si="48"/>
        <v>335416.66666666773</v>
      </c>
      <c r="O59" s="15">
        <f t="shared" si="49"/>
        <v>4189.913194444458</v>
      </c>
      <c r="P59" s="16">
        <f t="shared" si="35"/>
        <v>0</v>
      </c>
      <c r="Q59" s="16">
        <f t="shared" si="36"/>
        <v>7106.579861111124</v>
      </c>
      <c r="R59" s="17">
        <f t="shared" si="50"/>
        <v>300416.6666666675</v>
      </c>
      <c r="S59" s="15">
        <f t="shared" si="51"/>
        <v>3752.7048611111213</v>
      </c>
      <c r="T59" s="16">
        <f t="shared" si="37"/>
        <v>0</v>
      </c>
      <c r="U59" s="16">
        <f t="shared" si="38"/>
        <v>6669.3715277777883</v>
      </c>
      <c r="V59" s="17">
        <f t="shared" si="52"/>
        <v>265416.66666666727</v>
      </c>
      <c r="W59" s="15">
        <f t="shared" si="53"/>
        <v>3315.4965277777851</v>
      </c>
      <c r="X59" s="16">
        <f t="shared" si="39"/>
        <v>0</v>
      </c>
      <c r="Y59" s="16">
        <f t="shared" si="40"/>
        <v>6232.1631944444516</v>
      </c>
      <c r="Z59" s="17">
        <f t="shared" si="54"/>
        <v>230416.66666666736</v>
      </c>
      <c r="AA59" s="15">
        <f t="shared" si="55"/>
        <v>2878.288194444453</v>
      </c>
      <c r="AB59" s="16">
        <f t="shared" si="41"/>
        <v>0</v>
      </c>
      <c r="AC59" s="16">
        <f t="shared" si="42"/>
        <v>5794.9548611111195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437500.00000000175</v>
      </c>
      <c r="C60" s="15">
        <f t="shared" si="28"/>
        <v>5465.1041666666888</v>
      </c>
      <c r="D60" s="16">
        <f t="shared" si="29"/>
        <v>0</v>
      </c>
      <c r="E60" s="16">
        <f t="shared" si="30"/>
        <v>8381.7708333333558</v>
      </c>
      <c r="F60" s="17">
        <f t="shared" si="44"/>
        <v>402500.00000000151</v>
      </c>
      <c r="G60" s="15">
        <f t="shared" si="45"/>
        <v>5027.8958333333521</v>
      </c>
      <c r="H60" s="16">
        <f t="shared" si="31"/>
        <v>0</v>
      </c>
      <c r="I60" s="16">
        <f t="shared" si="32"/>
        <v>7944.5625000000182</v>
      </c>
      <c r="J60" s="17">
        <f t="shared" si="46"/>
        <v>367500.00000000128</v>
      </c>
      <c r="K60" s="15">
        <f t="shared" si="47"/>
        <v>4590.6875000000164</v>
      </c>
      <c r="L60" s="16">
        <f t="shared" si="33"/>
        <v>0</v>
      </c>
      <c r="M60" s="16">
        <f t="shared" si="34"/>
        <v>7507.3541666666824</v>
      </c>
      <c r="N60" s="17">
        <f t="shared" si="48"/>
        <v>332500.00000000105</v>
      </c>
      <c r="O60" s="15">
        <f t="shared" si="49"/>
        <v>4153.4791666666797</v>
      </c>
      <c r="P60" s="16">
        <f t="shared" si="35"/>
        <v>0</v>
      </c>
      <c r="Q60" s="16">
        <f t="shared" si="36"/>
        <v>7070.1458333333467</v>
      </c>
      <c r="R60" s="17">
        <f t="shared" si="50"/>
        <v>297500.00000000081</v>
      </c>
      <c r="S60" s="15">
        <f t="shared" si="51"/>
        <v>3716.2708333333435</v>
      </c>
      <c r="T60" s="16">
        <f t="shared" si="37"/>
        <v>0</v>
      </c>
      <c r="U60" s="16">
        <f t="shared" si="38"/>
        <v>6632.93750000001</v>
      </c>
      <c r="V60" s="17">
        <f t="shared" si="52"/>
        <v>262500.00000000058</v>
      </c>
      <c r="W60" s="15">
        <f t="shared" si="53"/>
        <v>3279.0625000000073</v>
      </c>
      <c r="X60" s="16">
        <f t="shared" si="39"/>
        <v>0</v>
      </c>
      <c r="Y60" s="16">
        <f t="shared" si="40"/>
        <v>6195.7291666666733</v>
      </c>
      <c r="Z60" s="17">
        <f t="shared" si="54"/>
        <v>227500.0000000007</v>
      </c>
      <c r="AA60" s="15">
        <f t="shared" si="55"/>
        <v>2841.8541666666752</v>
      </c>
      <c r="AB60" s="16">
        <f t="shared" si="41"/>
        <v>0</v>
      </c>
      <c r="AC60" s="16">
        <f t="shared" si="42"/>
        <v>5758.5208333333412</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434583.33333333506</v>
      </c>
      <c r="C61" s="15">
        <f t="shared" si="28"/>
        <v>5428.6701388889105</v>
      </c>
      <c r="D61" s="16">
        <f t="shared" si="29"/>
        <v>0</v>
      </c>
      <c r="E61" s="16">
        <f t="shared" si="30"/>
        <v>8345.3368055555766</v>
      </c>
      <c r="F61" s="17">
        <f t="shared" si="44"/>
        <v>399583.33333333483</v>
      </c>
      <c r="G61" s="15">
        <f t="shared" si="45"/>
        <v>4991.4618055555738</v>
      </c>
      <c r="H61" s="16">
        <f t="shared" si="31"/>
        <v>0</v>
      </c>
      <c r="I61" s="16">
        <f t="shared" si="32"/>
        <v>7908.1284722222408</v>
      </c>
      <c r="J61" s="17">
        <f t="shared" si="46"/>
        <v>364583.33333333459</v>
      </c>
      <c r="K61" s="15">
        <f t="shared" si="47"/>
        <v>4554.2534722222381</v>
      </c>
      <c r="L61" s="16">
        <f t="shared" si="33"/>
        <v>0</v>
      </c>
      <c r="M61" s="16">
        <f t="shared" si="34"/>
        <v>7470.9201388889051</v>
      </c>
      <c r="N61" s="17">
        <f t="shared" si="48"/>
        <v>329583.33333333436</v>
      </c>
      <c r="O61" s="15">
        <f t="shared" si="49"/>
        <v>4117.0451388889014</v>
      </c>
      <c r="P61" s="16">
        <f t="shared" si="35"/>
        <v>0</v>
      </c>
      <c r="Q61" s="16">
        <f t="shared" si="36"/>
        <v>7033.7118055555675</v>
      </c>
      <c r="R61" s="17">
        <f t="shared" si="50"/>
        <v>294583.33333333413</v>
      </c>
      <c r="S61" s="15">
        <f t="shared" si="51"/>
        <v>3679.8368055555657</v>
      </c>
      <c r="T61" s="16">
        <f t="shared" si="37"/>
        <v>0</v>
      </c>
      <c r="U61" s="16">
        <f t="shared" si="38"/>
        <v>6596.5034722222317</v>
      </c>
      <c r="V61" s="17">
        <f t="shared" si="52"/>
        <v>259583.33333333393</v>
      </c>
      <c r="W61" s="15">
        <f t="shared" si="53"/>
        <v>3242.6284722222294</v>
      </c>
      <c r="X61" s="16">
        <f t="shared" si="39"/>
        <v>0</v>
      </c>
      <c r="Y61" s="16">
        <f t="shared" si="40"/>
        <v>6159.295138888896</v>
      </c>
      <c r="Z61" s="17">
        <f t="shared" si="54"/>
        <v>224583.33333333404</v>
      </c>
      <c r="AA61" s="15">
        <f t="shared" si="55"/>
        <v>2805.4201388888978</v>
      </c>
      <c r="AB61" s="16">
        <f t="shared" si="41"/>
        <v>0</v>
      </c>
      <c r="AC61" s="16">
        <f t="shared" si="42"/>
        <v>5722.0868055555638</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431666.66666666837</v>
      </c>
      <c r="C62" s="15">
        <f t="shared" si="28"/>
        <v>5392.2361111111322</v>
      </c>
      <c r="D62" s="16">
        <f t="shared" si="29"/>
        <v>0</v>
      </c>
      <c r="E62" s="16">
        <f t="shared" si="30"/>
        <v>8308.9027777777992</v>
      </c>
      <c r="F62" s="17">
        <f t="shared" si="44"/>
        <v>396666.66666666814</v>
      </c>
      <c r="G62" s="15">
        <f t="shared" si="45"/>
        <v>4955.0277777777965</v>
      </c>
      <c r="H62" s="16">
        <f t="shared" si="31"/>
        <v>0</v>
      </c>
      <c r="I62" s="16">
        <f t="shared" si="32"/>
        <v>7871.6944444444634</v>
      </c>
      <c r="J62" s="17">
        <f t="shared" si="46"/>
        <v>361666.66666666791</v>
      </c>
      <c r="K62" s="15">
        <f t="shared" si="47"/>
        <v>4517.8194444444598</v>
      </c>
      <c r="L62" s="16">
        <f t="shared" si="33"/>
        <v>0</v>
      </c>
      <c r="M62" s="16">
        <f t="shared" si="34"/>
        <v>7434.4861111111259</v>
      </c>
      <c r="N62" s="17">
        <f t="shared" si="48"/>
        <v>326666.66666666768</v>
      </c>
      <c r="O62" s="15">
        <f t="shared" si="49"/>
        <v>4080.6111111111236</v>
      </c>
      <c r="P62" s="16">
        <f t="shared" si="35"/>
        <v>0</v>
      </c>
      <c r="Q62" s="16">
        <f t="shared" si="36"/>
        <v>6997.2777777777901</v>
      </c>
      <c r="R62" s="17">
        <f t="shared" si="50"/>
        <v>291666.66666666744</v>
      </c>
      <c r="S62" s="15">
        <f t="shared" si="51"/>
        <v>3643.4027777777874</v>
      </c>
      <c r="T62" s="16">
        <f t="shared" si="37"/>
        <v>0</v>
      </c>
      <c r="U62" s="16">
        <f t="shared" si="38"/>
        <v>6560.0694444444543</v>
      </c>
      <c r="V62" s="17">
        <f t="shared" si="52"/>
        <v>256666.66666666727</v>
      </c>
      <c r="W62" s="15">
        <f t="shared" si="53"/>
        <v>3206.1944444444521</v>
      </c>
      <c r="X62" s="16">
        <f t="shared" si="39"/>
        <v>0</v>
      </c>
      <c r="Y62" s="16">
        <f t="shared" si="40"/>
        <v>6122.8611111111186</v>
      </c>
      <c r="Z62" s="17">
        <f t="shared" si="54"/>
        <v>221666.66666666738</v>
      </c>
      <c r="AA62" s="15">
        <f t="shared" si="55"/>
        <v>2768.98611111112</v>
      </c>
      <c r="AB62" s="16">
        <f t="shared" si="41"/>
        <v>0</v>
      </c>
      <c r="AC62" s="16">
        <f t="shared" si="42"/>
        <v>5685.6527777777865</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428750.00000000169</v>
      </c>
      <c r="C63" s="15">
        <f t="shared" si="28"/>
        <v>5355.8020833333539</v>
      </c>
      <c r="D63" s="16">
        <f t="shared" si="29"/>
        <v>0</v>
      </c>
      <c r="E63" s="16">
        <f t="shared" si="30"/>
        <v>8272.46875000002</v>
      </c>
      <c r="F63" s="17">
        <f t="shared" si="44"/>
        <v>393750.00000000146</v>
      </c>
      <c r="G63" s="15">
        <f t="shared" si="45"/>
        <v>4918.5937500000182</v>
      </c>
      <c r="H63" s="16">
        <f t="shared" si="31"/>
        <v>0</v>
      </c>
      <c r="I63" s="16">
        <f t="shared" si="32"/>
        <v>7835.2604166666843</v>
      </c>
      <c r="J63" s="17">
        <f t="shared" si="46"/>
        <v>358750.00000000122</v>
      </c>
      <c r="K63" s="15">
        <f t="shared" si="47"/>
        <v>4481.3854166666815</v>
      </c>
      <c r="L63" s="16">
        <f t="shared" si="33"/>
        <v>0</v>
      </c>
      <c r="M63" s="16">
        <f t="shared" si="34"/>
        <v>7398.0520833333485</v>
      </c>
      <c r="N63" s="17">
        <f t="shared" si="48"/>
        <v>323750.00000000099</v>
      </c>
      <c r="O63" s="15">
        <f t="shared" si="49"/>
        <v>4044.1770833333458</v>
      </c>
      <c r="P63" s="16">
        <f t="shared" si="35"/>
        <v>0</v>
      </c>
      <c r="Q63" s="16">
        <f t="shared" si="36"/>
        <v>6960.8437500000127</v>
      </c>
      <c r="R63" s="17">
        <f t="shared" si="50"/>
        <v>288750.00000000076</v>
      </c>
      <c r="S63" s="15">
        <f t="shared" si="51"/>
        <v>3606.9687500000095</v>
      </c>
      <c r="T63" s="16">
        <f t="shared" si="37"/>
        <v>0</v>
      </c>
      <c r="U63" s="16">
        <f t="shared" si="38"/>
        <v>6523.6354166666761</v>
      </c>
      <c r="V63" s="17">
        <f t="shared" si="52"/>
        <v>253750.00000000061</v>
      </c>
      <c r="W63" s="15">
        <f t="shared" si="53"/>
        <v>3169.7604166666742</v>
      </c>
      <c r="X63" s="16">
        <f t="shared" si="39"/>
        <v>0</v>
      </c>
      <c r="Y63" s="16">
        <f t="shared" si="40"/>
        <v>6086.4270833333412</v>
      </c>
      <c r="Z63" s="17">
        <f t="shared" si="54"/>
        <v>218750.00000000073</v>
      </c>
      <c r="AA63" s="15">
        <f t="shared" si="55"/>
        <v>2732.5520833333426</v>
      </c>
      <c r="AB63" s="16">
        <f t="shared" si="41"/>
        <v>0</v>
      </c>
      <c r="AC63" s="16">
        <f t="shared" si="42"/>
        <v>5649.2187500000091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425833.333333335</v>
      </c>
      <c r="C64" s="15">
        <f t="shared" si="28"/>
        <v>5319.3680555555766</v>
      </c>
      <c r="D64" s="16">
        <f t="shared" si="29"/>
        <v>0</v>
      </c>
      <c r="E64" s="16">
        <f t="shared" si="30"/>
        <v>8236.0347222222426</v>
      </c>
      <c r="F64" s="17">
        <f t="shared" si="44"/>
        <v>390833.33333333477</v>
      </c>
      <c r="G64" s="15">
        <f t="shared" si="45"/>
        <v>4882.1597222222399</v>
      </c>
      <c r="H64" s="16">
        <f t="shared" si="31"/>
        <v>0</v>
      </c>
      <c r="I64" s="16">
        <f t="shared" si="32"/>
        <v>7798.8263888889069</v>
      </c>
      <c r="J64" s="17">
        <f t="shared" si="46"/>
        <v>355833.33333333454</v>
      </c>
      <c r="K64" s="15">
        <f t="shared" si="47"/>
        <v>4444.9513888889041</v>
      </c>
      <c r="L64" s="16">
        <f t="shared" si="33"/>
        <v>0</v>
      </c>
      <c r="M64" s="16">
        <f t="shared" si="34"/>
        <v>7361.6180555555711</v>
      </c>
      <c r="N64" s="17">
        <f t="shared" si="48"/>
        <v>320833.3333333343</v>
      </c>
      <c r="O64" s="15">
        <f t="shared" si="49"/>
        <v>4007.7430555555675</v>
      </c>
      <c r="P64" s="16">
        <f t="shared" si="35"/>
        <v>0</v>
      </c>
      <c r="Q64" s="16">
        <f t="shared" si="36"/>
        <v>6924.4097222222335</v>
      </c>
      <c r="R64" s="17">
        <f t="shared" si="50"/>
        <v>285833.33333333407</v>
      </c>
      <c r="S64" s="15">
        <f t="shared" si="51"/>
        <v>3570.5347222222313</v>
      </c>
      <c r="T64" s="16">
        <f t="shared" si="37"/>
        <v>0</v>
      </c>
      <c r="U64" s="16">
        <f t="shared" si="38"/>
        <v>6487.2013888888978</v>
      </c>
      <c r="V64" s="17">
        <f t="shared" si="52"/>
        <v>250833.33333333395</v>
      </c>
      <c r="W64" s="15">
        <f t="shared" si="53"/>
        <v>3133.3263888888964</v>
      </c>
      <c r="X64" s="16">
        <f t="shared" si="39"/>
        <v>0</v>
      </c>
      <c r="Y64" s="16">
        <f t="shared" si="40"/>
        <v>6049.9930555555629</v>
      </c>
      <c r="Z64" s="17">
        <f t="shared" si="54"/>
        <v>215833.33333333407</v>
      </c>
      <c r="AA64" s="15">
        <f t="shared" si="55"/>
        <v>2696.1180555555648</v>
      </c>
      <c r="AB64" s="16">
        <f t="shared" si="41"/>
        <v>0</v>
      </c>
      <c r="AC64" s="16">
        <f t="shared" si="42"/>
        <v>5612.7847222222317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422916.66666666832</v>
      </c>
      <c r="C65" s="15">
        <f t="shared" si="28"/>
        <v>5282.9340277777983</v>
      </c>
      <c r="D65" s="16">
        <f t="shared" si="29"/>
        <v>0</v>
      </c>
      <c r="E65" s="16">
        <f t="shared" si="30"/>
        <v>8199.6006944444653</v>
      </c>
      <c r="F65" s="17">
        <f t="shared" si="44"/>
        <v>387916.66666666808</v>
      </c>
      <c r="G65" s="15">
        <f>IF(LEFT($A65,1)*1+LEFT(F$52,1)*12-12&lt;=$J$15,F65*($J$14/12),F65*($J$16/12))</f>
        <v>4845.7256944444625</v>
      </c>
      <c r="H65" s="16">
        <f t="shared" si="31"/>
        <v>0</v>
      </c>
      <c r="I65" s="16">
        <f t="shared" si="32"/>
        <v>7762.3923611111295</v>
      </c>
      <c r="J65" s="17">
        <f t="shared" si="46"/>
        <v>352916.66666666785</v>
      </c>
      <c r="K65" s="15">
        <f t="shared" si="47"/>
        <v>4408.5173611111259</v>
      </c>
      <c r="L65" s="16">
        <f t="shared" si="33"/>
        <v>0</v>
      </c>
      <c r="M65" s="16">
        <f t="shared" si="34"/>
        <v>7325.1840277777919</v>
      </c>
      <c r="N65" s="17">
        <f t="shared" si="48"/>
        <v>317916.66666666762</v>
      </c>
      <c r="O65" s="15">
        <f t="shared" si="49"/>
        <v>3971.3090277777897</v>
      </c>
      <c r="P65" s="16">
        <f t="shared" si="35"/>
        <v>0</v>
      </c>
      <c r="Q65" s="16">
        <f t="shared" si="36"/>
        <v>6887.9756944444562</v>
      </c>
      <c r="R65" s="17">
        <f t="shared" si="50"/>
        <v>282916.66666666738</v>
      </c>
      <c r="S65" s="15">
        <f t="shared" si="51"/>
        <v>3534.1006944444534</v>
      </c>
      <c r="T65" s="16">
        <f t="shared" si="37"/>
        <v>0</v>
      </c>
      <c r="U65" s="16">
        <f t="shared" si="38"/>
        <v>6450.7673611111204</v>
      </c>
      <c r="V65" s="17">
        <f t="shared" si="52"/>
        <v>247916.6666666673</v>
      </c>
      <c r="W65" s="15">
        <f t="shared" si="53"/>
        <v>3096.892361111119</v>
      </c>
      <c r="X65" s="16">
        <f t="shared" si="39"/>
        <v>0</v>
      </c>
      <c r="Y65" s="16">
        <f t="shared" si="40"/>
        <v>6013.5590277777856</v>
      </c>
      <c r="Z65" s="17">
        <f t="shared" si="54"/>
        <v>212916.66666666741</v>
      </c>
      <c r="AA65" s="15">
        <f t="shared" si="55"/>
        <v>2659.6840277777869</v>
      </c>
      <c r="AB65" s="16">
        <f t="shared" si="41"/>
        <v>0</v>
      </c>
      <c r="AC65" s="16">
        <f t="shared" si="42"/>
        <v>5576.3506944444534</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65799.854166666919</v>
      </c>
      <c r="D66" s="21">
        <f>SUM(D54:D65)</f>
        <v>6185.0000000000127</v>
      </c>
      <c r="E66" s="21">
        <f>SUM(E54:E65)</f>
        <v>106984.85416666693</v>
      </c>
      <c r="F66" s="19"/>
      <c r="G66" s="20">
        <f>SUM(G54:G65)</f>
        <v>60553.35416666689</v>
      </c>
      <c r="H66" s="21">
        <f>SUM(H54:H65)</f>
        <v>5940.0000000000109</v>
      </c>
      <c r="I66" s="21">
        <f>SUM(I54:I65)</f>
        <v>101493.35416666689</v>
      </c>
      <c r="J66" s="19"/>
      <c r="K66" s="20">
        <f>SUM(K54:K65)</f>
        <v>55306.854166666861</v>
      </c>
      <c r="L66" s="21">
        <f>SUM(L54:L65)</f>
        <v>5695.00000000001</v>
      </c>
      <c r="M66" s="21">
        <f>SUM(M54:M65)</f>
        <v>96001.854166666875</v>
      </c>
      <c r="N66" s="19"/>
      <c r="O66" s="20">
        <f>SUM(O54:O65)</f>
        <v>50060.354166666817</v>
      </c>
      <c r="P66" s="21">
        <f>SUM(P54:P65)</f>
        <v>5450.0000000000082</v>
      </c>
      <c r="Q66" s="21">
        <f>SUM(Q54:Q65)</f>
        <v>90510.354166666817</v>
      </c>
      <c r="R66" s="19"/>
      <c r="S66" s="20">
        <f>SUM(S54:S65)</f>
        <v>44813.854166666788</v>
      </c>
      <c r="T66" s="21">
        <f>SUM(T54:T65)</f>
        <v>5205.0000000000064</v>
      </c>
      <c r="U66" s="21">
        <f>SUM(U54:U65)</f>
        <v>85018.854166666802</v>
      </c>
      <c r="V66" s="19"/>
      <c r="W66" s="20">
        <f>SUM(W54:W65)</f>
        <v>39567.354166666759</v>
      </c>
      <c r="X66" s="21">
        <f>SUM(X54:X65)</f>
        <v>4960.0000000000055</v>
      </c>
      <c r="Y66" s="21">
        <f>SUM(Y54:Y65)</f>
        <v>79527.354166666759</v>
      </c>
      <c r="Z66" s="19"/>
      <c r="AA66" s="20">
        <f>SUM(AA54:AA65)</f>
        <v>34320.854166666773</v>
      </c>
      <c r="AB66" s="21">
        <f>SUM(AB54:AB65)</f>
        <v>4715.0000000000045</v>
      </c>
      <c r="AC66" s="21">
        <f>SUM(AC54:AC65)</f>
        <v>74035.854166666759</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51" t="s">
        <v>33</v>
      </c>
      <c r="B67" s="48" t="s">
        <v>65</v>
      </c>
      <c r="C67" s="49"/>
      <c r="D67" s="49"/>
      <c r="E67" s="50"/>
      <c r="F67" s="48" t="s">
        <v>66</v>
      </c>
      <c r="G67" s="49"/>
      <c r="H67" s="50"/>
      <c r="I67" s="35"/>
      <c r="J67" s="48" t="s">
        <v>67</v>
      </c>
      <c r="K67" s="49"/>
      <c r="L67" s="49"/>
      <c r="M67" s="50"/>
      <c r="N67" s="48" t="s">
        <v>68</v>
      </c>
      <c r="O67" s="49"/>
      <c r="P67" s="49"/>
      <c r="Q67" s="50"/>
      <c r="R67" s="48" t="s">
        <v>69</v>
      </c>
      <c r="S67" s="49"/>
      <c r="T67" s="49"/>
      <c r="U67" s="50"/>
      <c r="V67" s="48" t="s">
        <v>70</v>
      </c>
      <c r="W67" s="49"/>
      <c r="X67" s="49"/>
      <c r="Y67" s="50"/>
      <c r="Z67" s="48" t="s">
        <v>71</v>
      </c>
      <c r="AA67" s="49"/>
      <c r="AB67" s="49"/>
      <c r="AC67" s="50"/>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52"/>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210000.00000000076</v>
      </c>
      <c r="C69" s="15">
        <f>IF(LEFT($A69,1)*1+LEFT(B$52,2)*12-12&lt;=$J$15,B69*($J$14/12),B69*($J$16/12))</f>
        <v>2623.2500000000095</v>
      </c>
      <c r="D69" s="16">
        <f t="shared" ref="D69:D80" si="56">IF(AND($A69="1 міс.",B69&gt;0),$J$28*$J$6+$J$29*B69,0)+IF(B69-IF(data2=1,IF(C69&gt;0.001,C69+sumproplat2,0),IF(B69&gt;sumproplat2*2,sumproplat2,B69+C69))&lt;0,$J$31,0)</f>
        <v>4470.0000000000055</v>
      </c>
      <c r="E69" s="16">
        <f t="shared" ref="E69:E80" si="57">IF(data2=1,IF(C69&gt;0.001,C69+D69+sumproplat2,0),IF(B69&gt;sumproplat2*2,sumproplat2+D69,B69+C69+D69))</f>
        <v>10009.916666666681</v>
      </c>
      <c r="F69" s="17">
        <f>IF(data2=1,IF((B80-sumproplat2)&gt;1,B80-sumproplat2,0),IF(B80-(sumproplat2-C80-D80)&gt;0,B80-(E80-C80-D80),0))</f>
        <v>175000.00000000087</v>
      </c>
      <c r="G69" s="15">
        <f>IF(LEFT($A69,1)*1+LEFT(F$52,2)*12-12&lt;=$J$15,F69*($J$14/12),F69*($J$16/12))</f>
        <v>2186.0416666666774</v>
      </c>
      <c r="H69" s="16">
        <f t="shared" ref="H69:H80" si="58">IF(AND($A69="1 міс.",F69&gt;0),$J$28*$J$6+$J$29*F69,0)+IF(F69-IF(data2=1,IF(G69&gt;0.001,G69+sumproplat2,0),IF(F69&gt;sumproplat2*2,sumproplat2,F69+G69))&lt;0,$J$31,0)</f>
        <v>4225.0000000000064</v>
      </c>
      <c r="I69" s="16">
        <f t="shared" ref="I69:I80" si="59">IF(data2=1,IF(G69&gt;0.001,G69+H69+sumproplat2,0),IF(F69&gt;sumproplat2*2,sumproplat2+H69,F69+G69+H69))</f>
        <v>9327.7083333333503</v>
      </c>
      <c r="J69" s="17">
        <f>IF(data2=1,IF((F80-sumproplat2)&gt;1,F80-sumproplat2,0),IF(F80-(sumproplat2-G80-H80)&gt;0,F80-(I80-G80-H80),0))</f>
        <v>140000.00000000099</v>
      </c>
      <c r="K69" s="15">
        <f>IF(LEFT($A69,1)*1+LEFT(J$52,2)*12-12&lt;=$J$15,J69*($J$14/12),J69*($J$16/12))</f>
        <v>1748.8333333333458</v>
      </c>
      <c r="L69" s="16">
        <f t="shared" ref="L69:L80" si="60">IF(AND($A69="1 міс.",J69&gt;0),$J$28*$J$6+$J$29*J69,0)+IF(J69-IF(data2=1,IF(K69&gt;0.001,K69+sumproplat2,0),IF(J69&gt;sumproplat2*2,sumproplat2,J69+K69))&lt;0,$J$31,0)</f>
        <v>3980.0000000000068</v>
      </c>
      <c r="M69" s="16">
        <f t="shared" ref="M69:M80" si="61">IF(data2=1,IF(K69&gt;0.001,K69+L69+sumproplat2,0),IF(J69&gt;sumproplat2*2,sumproplat2+L69,J69+K69+L69))</f>
        <v>8645.5000000000182</v>
      </c>
      <c r="N69" s="17">
        <f>IF(data2=1,IF((J80-sumproplat2)&gt;1,J80-sumproplat2,0),IF(J80-(sumproplat2-K80-L80)&gt;0,J80-(M80-K80-L80),0))</f>
        <v>105000.00000000097</v>
      </c>
      <c r="O69" s="15">
        <f>IF(LEFT($A69,1)*1+LEFT(N$52,2)*12-12&lt;=$J$15,N69*($J$14/12),N69*($J$16/12))</f>
        <v>1311.6250000000123</v>
      </c>
      <c r="P69" s="16">
        <f t="shared" ref="P69:P80" si="62">IF(AND($A69="1 міс.",N69&gt;0),$J$28*$J$6+$J$29*N69,0)+IF(N69-IF(data2=1,IF(O69&gt;0.001,O69+sumproplat2,0),IF(N69&gt;sumproplat2*2,sumproplat2,N69+O69))&lt;0,$J$31,0)</f>
        <v>3735.0000000000068</v>
      </c>
      <c r="Q69" s="16">
        <f t="shared" ref="Q69:Q80" si="63">IF(data2=1,IF(O69&gt;0.001,O69+P69+sumproplat2,0),IF(N69&gt;sumproplat2*2,sumproplat2+P69,N69+O69+P69))</f>
        <v>7963.2916666666861</v>
      </c>
      <c r="R69" s="17">
        <f>IF(data2=1,IF((N80-sumproplat2)&gt;1,N80-sumproplat2,0),IF(N80-(sumproplat2-O80-P80)&gt;0,N80-(Q80-O80-P80),0))</f>
        <v>70000.000000000917</v>
      </c>
      <c r="S69" s="15">
        <f>IF(LEFT($A69,1)*1+LEFT(R$52,2)*12-12&lt;=$J$15,R69*($J$14/12),R69*($J$16/12))</f>
        <v>874.41666666667811</v>
      </c>
      <c r="T69" s="16">
        <f t="shared" ref="T69:T80" si="64">IF(AND($A69="1 міс.",R69&gt;0),$J$28*$J$6+$J$29*R69,0)+IF(R69-IF(data2=1,IF(S69&gt;0.001,S69+sumproplat2,0),IF(R69&gt;sumproplat2*2,sumproplat2,R69+S69))&lt;0,$J$31,0)</f>
        <v>3490.0000000000064</v>
      </c>
      <c r="U69" s="16">
        <f t="shared" ref="U69:U80" si="65">IF(data2=1,IF(S69&gt;0.001,S69+T69+sumproplat2,0),IF(R69&gt;sumproplat2*2,sumproplat2+T69,R69+S69+T69))</f>
        <v>7281.0833333333503</v>
      </c>
      <c r="V69" s="17">
        <f>IF(data2=1,IF((R80-sumproplat2)&gt;1,R80-sumproplat2,0),IF(R80-(sumproplat2-S80-T80)&gt;0,R80-(U80-S80-T80),0))</f>
        <v>35000.000000000939</v>
      </c>
      <c r="W69" s="15">
        <f>IF(LEFT($A69,1)*1+LEFT(V$52,2)*12-12&lt;=$J$15,V69*($J$14/12),V69*($J$16/12))</f>
        <v>437.20833333334508</v>
      </c>
      <c r="X69" s="16">
        <f t="shared" ref="X69:X80" si="66">IF(AND($A69="1 міс.",V69&gt;0),$J$28*$J$6+$J$29*V69,0)+IF(V69-IF(data2=1,IF(W69&gt;0.001,W69+sumproplat2,0),IF(V69&gt;sumproplat2*2,sumproplat2,V69+W69))&lt;0,$J$31,0)</f>
        <v>3245.0000000000064</v>
      </c>
      <c r="Y69" s="16">
        <f t="shared" ref="Y69:Y80" si="67">IF(data2=1,IF(W69&gt;0.001,W69+X69+sumproplat2,0),IF(V69&gt;sumproplat2*2,sumproplat2+X69,V69+W69+X69))</f>
        <v>6598.8750000000182</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207083.3333333341</v>
      </c>
      <c r="C70" s="15">
        <f t="shared" ref="C70:C80" si="71">IF(LEFT($A70,1)*1+LEFT(B$52,2)*12-12&lt;=$J$15,B70*($J$14/12),B70*($J$16/12))</f>
        <v>2586.8159722222317</v>
      </c>
      <c r="D70" s="16">
        <f t="shared" si="56"/>
        <v>0</v>
      </c>
      <c r="E70" s="16">
        <f t="shared" si="57"/>
        <v>5503.4826388888978</v>
      </c>
      <c r="F70" s="17">
        <f t="shared" ref="F70:F80" si="72">IF(data2=1,IF((F69-sumproplat2)&gt;1,F69-sumproplat2,0),IF(F69-(sumproplat2-G69-H69)&gt;0,F69-(I69-G69-H69),0))</f>
        <v>172083.33333333422</v>
      </c>
      <c r="G70" s="15">
        <f t="shared" ref="G70:G80" si="73">IF(LEFT($A70,1)*1+LEFT(F$52,2)*12-12&lt;=$J$15,F70*($J$14/12),F70*($J$16/12))</f>
        <v>2149.6076388889001</v>
      </c>
      <c r="H70" s="16">
        <f t="shared" si="58"/>
        <v>0</v>
      </c>
      <c r="I70" s="16">
        <f t="shared" si="59"/>
        <v>5066.2743055555666</v>
      </c>
      <c r="J70" s="17">
        <f t="shared" ref="J70:J80" si="74">IF(data2=1,IF((J69-sumproplat2)&gt;1,J69-sumproplat2,0),IF(J69-(sumproplat2-K69-L69)&gt;0,J69-(M69-K69-L69),0))</f>
        <v>137083.33333333433</v>
      </c>
      <c r="K70" s="15">
        <f t="shared" ref="K70:K80" si="75">IF(LEFT($A70,1)*1+LEFT(J$52,2)*12-12&lt;=$J$15,J70*($J$14/12),J70*($J$16/12))</f>
        <v>1712.3993055555679</v>
      </c>
      <c r="L70" s="16">
        <f t="shared" si="60"/>
        <v>0</v>
      </c>
      <c r="M70" s="16">
        <f t="shared" si="61"/>
        <v>4629.0659722222344</v>
      </c>
      <c r="N70" s="17">
        <f t="shared" ref="N70:N80" si="76">IF(data2=1,IF((N69-sumproplat2)&gt;1,N69-sumproplat2,0),IF(N69-(sumproplat2-O69-P69)&gt;0,N69-(Q69-O69-P69),0))</f>
        <v>102083.3333333343</v>
      </c>
      <c r="O70" s="15">
        <f t="shared" ref="O70:O80" si="77">IF(LEFT($A70,1)*1+LEFT(N$52,2)*12-12&lt;=$J$15,N70*($J$14/12),N70*($J$16/12))</f>
        <v>1275.1909722222342</v>
      </c>
      <c r="P70" s="16">
        <f t="shared" si="62"/>
        <v>0</v>
      </c>
      <c r="Q70" s="16">
        <f t="shared" si="63"/>
        <v>4191.8576388889005</v>
      </c>
      <c r="R70" s="17">
        <f t="shared" ref="R70:R80" si="78">IF(data2=1,IF((R69-sumproplat2)&gt;1,R69-sumproplat2,0),IF(R69-(sumproplat2-S69-T69)&gt;0,R69-(U69-S69-T69),0))</f>
        <v>67083.333333334245</v>
      </c>
      <c r="S70" s="15">
        <f t="shared" ref="S70:S80" si="79">IF(LEFT($A70,1)*1+LEFT(R$52,2)*12-12&lt;=$J$15,R70*($J$14/12),R70*($J$16/12))</f>
        <v>837.98263888890028</v>
      </c>
      <c r="T70" s="16">
        <f t="shared" si="64"/>
        <v>0</v>
      </c>
      <c r="U70" s="16">
        <f t="shared" si="65"/>
        <v>3754.6493055555666</v>
      </c>
      <c r="V70" s="17">
        <f t="shared" ref="V70:V80" si="80">IF(data2=1,IF((V69-sumproplat2)&gt;1,V69-sumproplat2,0),IF(V69-(sumproplat2-W69-X69)&gt;0,V69-(Y69-W69-X69),0))</f>
        <v>32083.333333334271</v>
      </c>
      <c r="W70" s="15">
        <f t="shared" ref="W70:W80" si="81">IF(LEFT($A70,1)*1+LEFT(V$52,2)*12-12&lt;=$J$15,V70*($J$14/12),V70*($J$16/12))</f>
        <v>400.77430555556725</v>
      </c>
      <c r="X70" s="16">
        <f t="shared" si="66"/>
        <v>0</v>
      </c>
      <c r="Y70" s="16">
        <f t="shared" si="67"/>
        <v>3317.4409722222335</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204166.66666666744</v>
      </c>
      <c r="C71" s="15">
        <f t="shared" si="71"/>
        <v>2550.3819444444539</v>
      </c>
      <c r="D71" s="16">
        <f t="shared" si="56"/>
        <v>0</v>
      </c>
      <c r="E71" s="16">
        <f t="shared" si="57"/>
        <v>5467.0486111111204</v>
      </c>
      <c r="F71" s="17">
        <f t="shared" si="72"/>
        <v>169166.66666666756</v>
      </c>
      <c r="G71" s="15">
        <f t="shared" si="73"/>
        <v>2113.1736111111222</v>
      </c>
      <c r="H71" s="16">
        <f t="shared" si="58"/>
        <v>0</v>
      </c>
      <c r="I71" s="16">
        <f t="shared" si="59"/>
        <v>5029.8402777777883</v>
      </c>
      <c r="J71" s="17">
        <f t="shared" si="74"/>
        <v>134166.66666666768</v>
      </c>
      <c r="K71" s="15">
        <f t="shared" si="75"/>
        <v>1675.9652777777903</v>
      </c>
      <c r="L71" s="16">
        <f t="shared" si="60"/>
        <v>0</v>
      </c>
      <c r="M71" s="16">
        <f t="shared" si="61"/>
        <v>4592.6319444444571</v>
      </c>
      <c r="N71" s="17">
        <f t="shared" si="76"/>
        <v>99166.666666667632</v>
      </c>
      <c r="O71" s="15">
        <f t="shared" si="77"/>
        <v>1238.7569444444564</v>
      </c>
      <c r="P71" s="16">
        <f t="shared" si="62"/>
        <v>0</v>
      </c>
      <c r="Q71" s="16">
        <f t="shared" si="63"/>
        <v>4155.4236111111231</v>
      </c>
      <c r="R71" s="17">
        <f t="shared" si="78"/>
        <v>64166.666666667581</v>
      </c>
      <c r="S71" s="15">
        <f t="shared" si="79"/>
        <v>801.54861111112257</v>
      </c>
      <c r="T71" s="16">
        <f t="shared" si="64"/>
        <v>0</v>
      </c>
      <c r="U71" s="16">
        <f t="shared" si="65"/>
        <v>3718.2152777777892</v>
      </c>
      <c r="V71" s="17">
        <f t="shared" si="80"/>
        <v>29166.666666667603</v>
      </c>
      <c r="W71" s="15">
        <f t="shared" si="81"/>
        <v>364.34027777778948</v>
      </c>
      <c r="X71" s="16">
        <f t="shared" si="66"/>
        <v>0</v>
      </c>
      <c r="Y71" s="16">
        <f t="shared" si="67"/>
        <v>3281.0069444444562</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201250.00000000079</v>
      </c>
      <c r="C72" s="15">
        <f t="shared" si="71"/>
        <v>2513.9479166666765</v>
      </c>
      <c r="D72" s="16">
        <f t="shared" si="56"/>
        <v>0</v>
      </c>
      <c r="E72" s="16">
        <f t="shared" si="57"/>
        <v>5430.614583333343</v>
      </c>
      <c r="F72" s="17">
        <f t="shared" si="72"/>
        <v>166250.0000000009</v>
      </c>
      <c r="G72" s="15">
        <f t="shared" si="73"/>
        <v>2076.7395833333444</v>
      </c>
      <c r="H72" s="16">
        <f t="shared" si="58"/>
        <v>0</v>
      </c>
      <c r="I72" s="16">
        <f t="shared" si="59"/>
        <v>4993.4062500000109</v>
      </c>
      <c r="J72" s="17">
        <f t="shared" si="74"/>
        <v>131250.00000000102</v>
      </c>
      <c r="K72" s="15">
        <f t="shared" si="75"/>
        <v>1639.5312500000127</v>
      </c>
      <c r="L72" s="16">
        <f t="shared" si="60"/>
        <v>0</v>
      </c>
      <c r="M72" s="16">
        <f t="shared" si="61"/>
        <v>4556.1979166666788</v>
      </c>
      <c r="N72" s="17">
        <f t="shared" si="76"/>
        <v>96250.00000000096</v>
      </c>
      <c r="O72" s="15">
        <f t="shared" si="77"/>
        <v>1202.3229166666786</v>
      </c>
      <c r="P72" s="16">
        <f t="shared" si="62"/>
        <v>0</v>
      </c>
      <c r="Q72" s="16">
        <f t="shared" si="63"/>
        <v>4118.9895833333449</v>
      </c>
      <c r="R72" s="17">
        <f t="shared" si="78"/>
        <v>61250.000000000917</v>
      </c>
      <c r="S72" s="15">
        <f t="shared" si="79"/>
        <v>765.11458333334474</v>
      </c>
      <c r="T72" s="16">
        <f t="shared" si="64"/>
        <v>0</v>
      </c>
      <c r="U72" s="16">
        <f t="shared" si="65"/>
        <v>3681.7812500000114</v>
      </c>
      <c r="V72" s="17">
        <f t="shared" si="80"/>
        <v>26250.000000000935</v>
      </c>
      <c r="W72" s="15">
        <f t="shared" si="81"/>
        <v>327.90625000001165</v>
      </c>
      <c r="X72" s="16">
        <f t="shared" si="66"/>
        <v>0</v>
      </c>
      <c r="Y72" s="16">
        <f t="shared" si="67"/>
        <v>3244.5729166666783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198333.33333333413</v>
      </c>
      <c r="C73" s="15">
        <f t="shared" si="71"/>
        <v>2477.5138888888987</v>
      </c>
      <c r="D73" s="16">
        <f t="shared" si="56"/>
        <v>0</v>
      </c>
      <c r="E73" s="16">
        <f t="shared" si="57"/>
        <v>5394.1805555555657</v>
      </c>
      <c r="F73" s="17">
        <f t="shared" si="72"/>
        <v>163333.33333333425</v>
      </c>
      <c r="G73" s="15">
        <f t="shared" si="73"/>
        <v>2040.305555555567</v>
      </c>
      <c r="H73" s="16">
        <f t="shared" si="58"/>
        <v>0</v>
      </c>
      <c r="I73" s="16">
        <f t="shared" si="59"/>
        <v>4956.9722222222335</v>
      </c>
      <c r="J73" s="17">
        <f t="shared" si="74"/>
        <v>128333.33333333435</v>
      </c>
      <c r="K73" s="15">
        <f t="shared" si="75"/>
        <v>1603.0972222222349</v>
      </c>
      <c r="L73" s="16">
        <f t="shared" si="60"/>
        <v>0</v>
      </c>
      <c r="M73" s="16">
        <f t="shared" si="61"/>
        <v>4519.7638888889014</v>
      </c>
      <c r="N73" s="17">
        <f t="shared" si="76"/>
        <v>93333.333333334289</v>
      </c>
      <c r="O73" s="15">
        <f t="shared" si="77"/>
        <v>1165.8888888889007</v>
      </c>
      <c r="P73" s="16">
        <f t="shared" si="62"/>
        <v>0</v>
      </c>
      <c r="Q73" s="16">
        <f t="shared" si="63"/>
        <v>4082.5555555555675</v>
      </c>
      <c r="R73" s="17">
        <f t="shared" si="78"/>
        <v>58333.333333334253</v>
      </c>
      <c r="S73" s="15">
        <f t="shared" si="79"/>
        <v>728.68055555556703</v>
      </c>
      <c r="T73" s="16">
        <f t="shared" si="64"/>
        <v>0</v>
      </c>
      <c r="U73" s="16">
        <f t="shared" si="65"/>
        <v>3645.3472222222335</v>
      </c>
      <c r="V73" s="17">
        <f t="shared" si="80"/>
        <v>23333.333333334267</v>
      </c>
      <c r="W73" s="15">
        <f t="shared" si="81"/>
        <v>291.47222222223388</v>
      </c>
      <c r="X73" s="16">
        <f t="shared" si="66"/>
        <v>0</v>
      </c>
      <c r="Y73" s="16">
        <f t="shared" si="67"/>
        <v>3208.1388888889005</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195416.66666666747</v>
      </c>
      <c r="C74" s="15">
        <f t="shared" si="71"/>
        <v>2441.0798611111213</v>
      </c>
      <c r="D74" s="16">
        <f t="shared" si="56"/>
        <v>0</v>
      </c>
      <c r="E74" s="16">
        <f t="shared" si="57"/>
        <v>5357.7465277777883</v>
      </c>
      <c r="F74" s="17">
        <f t="shared" si="72"/>
        <v>160416.66666666759</v>
      </c>
      <c r="G74" s="15">
        <f t="shared" si="73"/>
        <v>2003.8715277777892</v>
      </c>
      <c r="H74" s="16">
        <f t="shared" si="58"/>
        <v>0</v>
      </c>
      <c r="I74" s="16">
        <f t="shared" si="59"/>
        <v>4920.5381944444562</v>
      </c>
      <c r="J74" s="17">
        <f t="shared" si="74"/>
        <v>125416.66666666768</v>
      </c>
      <c r="K74" s="15">
        <f t="shared" si="75"/>
        <v>1566.6631944444571</v>
      </c>
      <c r="L74" s="16">
        <f t="shared" si="60"/>
        <v>0</v>
      </c>
      <c r="M74" s="16">
        <f t="shared" si="61"/>
        <v>4483.329861111124</v>
      </c>
      <c r="N74" s="17">
        <f t="shared" si="76"/>
        <v>90416.666666667617</v>
      </c>
      <c r="O74" s="15">
        <f t="shared" si="77"/>
        <v>1129.4548611111229</v>
      </c>
      <c r="P74" s="16">
        <f t="shared" si="62"/>
        <v>0</v>
      </c>
      <c r="Q74" s="16">
        <f t="shared" si="63"/>
        <v>4046.1215277777892</v>
      </c>
      <c r="R74" s="17">
        <f t="shared" si="78"/>
        <v>55416.666666667588</v>
      </c>
      <c r="S74" s="15">
        <f t="shared" si="79"/>
        <v>692.24652777778931</v>
      </c>
      <c r="T74" s="16">
        <f t="shared" si="64"/>
        <v>0</v>
      </c>
      <c r="U74" s="16">
        <f t="shared" si="65"/>
        <v>3608.9131944444557</v>
      </c>
      <c r="V74" s="17">
        <f t="shared" si="80"/>
        <v>20416.666666667599</v>
      </c>
      <c r="W74" s="15">
        <f t="shared" si="81"/>
        <v>255.03819444445608</v>
      </c>
      <c r="X74" s="16">
        <f t="shared" si="66"/>
        <v>0</v>
      </c>
      <c r="Y74" s="16">
        <f t="shared" si="67"/>
        <v>3171.7048611111227</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192500.00000000081</v>
      </c>
      <c r="C75" s="15">
        <f t="shared" si="71"/>
        <v>2404.6458333333435</v>
      </c>
      <c r="D75" s="16">
        <f t="shared" si="56"/>
        <v>0</v>
      </c>
      <c r="E75" s="16">
        <f t="shared" si="57"/>
        <v>5321.31250000001</v>
      </c>
      <c r="F75" s="17">
        <f t="shared" si="72"/>
        <v>157500.00000000093</v>
      </c>
      <c r="G75" s="15">
        <f t="shared" si="73"/>
        <v>1967.4375000000116</v>
      </c>
      <c r="H75" s="16">
        <f t="shared" si="58"/>
        <v>0</v>
      </c>
      <c r="I75" s="16">
        <f t="shared" si="59"/>
        <v>4884.1041666666779</v>
      </c>
      <c r="J75" s="17">
        <f t="shared" si="74"/>
        <v>122500.000000001</v>
      </c>
      <c r="K75" s="15">
        <f t="shared" si="75"/>
        <v>1530.2291666666792</v>
      </c>
      <c r="L75" s="16">
        <f t="shared" si="60"/>
        <v>0</v>
      </c>
      <c r="M75" s="16">
        <f t="shared" si="61"/>
        <v>4446.8958333333458</v>
      </c>
      <c r="N75" s="17">
        <f t="shared" si="76"/>
        <v>87500.000000000946</v>
      </c>
      <c r="O75" s="15">
        <f t="shared" si="77"/>
        <v>1093.0208333333451</v>
      </c>
      <c r="P75" s="16">
        <f t="shared" si="62"/>
        <v>0</v>
      </c>
      <c r="Q75" s="16">
        <f t="shared" si="63"/>
        <v>4009.6875000000118</v>
      </c>
      <c r="R75" s="17">
        <f t="shared" si="78"/>
        <v>52500.000000000924</v>
      </c>
      <c r="S75" s="15">
        <f t="shared" si="79"/>
        <v>655.81250000001148</v>
      </c>
      <c r="T75" s="16">
        <f t="shared" si="64"/>
        <v>0</v>
      </c>
      <c r="U75" s="16">
        <f t="shared" si="65"/>
        <v>3572.4791666666779</v>
      </c>
      <c r="V75" s="17">
        <f t="shared" si="80"/>
        <v>17500.000000000931</v>
      </c>
      <c r="W75" s="15">
        <f t="shared" si="81"/>
        <v>218.60416666667831</v>
      </c>
      <c r="X75" s="16">
        <f t="shared" si="66"/>
        <v>0</v>
      </c>
      <c r="Y75" s="16">
        <f t="shared" si="67"/>
        <v>3135.2708333333449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189583.33333333416</v>
      </c>
      <c r="C76" s="15">
        <f t="shared" si="71"/>
        <v>2368.2118055555657</v>
      </c>
      <c r="D76" s="16">
        <f t="shared" si="56"/>
        <v>0</v>
      </c>
      <c r="E76" s="16">
        <f t="shared" si="57"/>
        <v>5284.8784722222317</v>
      </c>
      <c r="F76" s="17">
        <f t="shared" si="72"/>
        <v>154583.33333333427</v>
      </c>
      <c r="G76" s="15">
        <f t="shared" si="73"/>
        <v>1931.003472222234</v>
      </c>
      <c r="H76" s="16">
        <f t="shared" si="58"/>
        <v>0</v>
      </c>
      <c r="I76" s="16">
        <f t="shared" si="59"/>
        <v>4847.6701388889005</v>
      </c>
      <c r="J76" s="17">
        <f t="shared" si="74"/>
        <v>119583.33333333433</v>
      </c>
      <c r="K76" s="15">
        <f t="shared" si="75"/>
        <v>1493.7951388889014</v>
      </c>
      <c r="L76" s="16">
        <f t="shared" si="60"/>
        <v>0</v>
      </c>
      <c r="M76" s="16">
        <f t="shared" si="61"/>
        <v>4410.4618055555675</v>
      </c>
      <c r="N76" s="17">
        <f t="shared" si="76"/>
        <v>84583.333333334274</v>
      </c>
      <c r="O76" s="15">
        <f t="shared" si="77"/>
        <v>1056.5868055555673</v>
      </c>
      <c r="P76" s="16">
        <f t="shared" si="62"/>
        <v>0</v>
      </c>
      <c r="Q76" s="16">
        <f t="shared" si="63"/>
        <v>3973.2534722222335</v>
      </c>
      <c r="R76" s="17">
        <f t="shared" si="78"/>
        <v>49583.33333333426</v>
      </c>
      <c r="S76" s="15">
        <f t="shared" si="79"/>
        <v>619.37847222223377</v>
      </c>
      <c r="T76" s="16">
        <f t="shared" si="64"/>
        <v>0</v>
      </c>
      <c r="U76" s="16">
        <f t="shared" si="65"/>
        <v>3536.0451388889005</v>
      </c>
      <c r="V76" s="17">
        <f t="shared" si="80"/>
        <v>14583.333333334265</v>
      </c>
      <c r="W76" s="15">
        <f t="shared" si="81"/>
        <v>182.17013888890054</v>
      </c>
      <c r="X76" s="16">
        <f t="shared" si="66"/>
        <v>0</v>
      </c>
      <c r="Y76" s="16">
        <f t="shared" si="67"/>
        <v>3098.836805555567</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186666.6666666675</v>
      </c>
      <c r="C77" s="15">
        <f t="shared" si="71"/>
        <v>2331.7777777777883</v>
      </c>
      <c r="D77" s="16">
        <f t="shared" si="56"/>
        <v>0</v>
      </c>
      <c r="E77" s="16">
        <f t="shared" si="57"/>
        <v>5248.4444444444543</v>
      </c>
      <c r="F77" s="17">
        <f t="shared" si="72"/>
        <v>151666.66666666762</v>
      </c>
      <c r="G77" s="15">
        <f t="shared" si="73"/>
        <v>1894.5694444444564</v>
      </c>
      <c r="H77" s="16">
        <f t="shared" si="58"/>
        <v>0</v>
      </c>
      <c r="I77" s="16">
        <f t="shared" si="59"/>
        <v>4811.2361111111231</v>
      </c>
      <c r="J77" s="17">
        <f t="shared" si="74"/>
        <v>116666.66666666766</v>
      </c>
      <c r="K77" s="15">
        <f t="shared" si="75"/>
        <v>1457.3611111111236</v>
      </c>
      <c r="L77" s="16">
        <f t="shared" si="60"/>
        <v>0</v>
      </c>
      <c r="M77" s="16">
        <f t="shared" si="61"/>
        <v>4374.0277777777901</v>
      </c>
      <c r="N77" s="17">
        <f t="shared" si="76"/>
        <v>81666.666666667603</v>
      </c>
      <c r="O77" s="15">
        <f t="shared" si="77"/>
        <v>1020.1527777777894</v>
      </c>
      <c r="P77" s="16">
        <f t="shared" si="62"/>
        <v>0</v>
      </c>
      <c r="Q77" s="16">
        <f t="shared" si="63"/>
        <v>3936.8194444444562</v>
      </c>
      <c r="R77" s="17">
        <f t="shared" si="78"/>
        <v>46666.666666667596</v>
      </c>
      <c r="S77" s="15">
        <f t="shared" si="79"/>
        <v>582.94444444445605</v>
      </c>
      <c r="T77" s="16">
        <f t="shared" si="64"/>
        <v>0</v>
      </c>
      <c r="U77" s="16">
        <f t="shared" si="65"/>
        <v>3499.6111111111227</v>
      </c>
      <c r="V77" s="17">
        <f t="shared" si="80"/>
        <v>11666.666666667599</v>
      </c>
      <c r="W77" s="15">
        <f t="shared" si="81"/>
        <v>145.73611111112277</v>
      </c>
      <c r="X77" s="16">
        <f t="shared" si="66"/>
        <v>0</v>
      </c>
      <c r="Y77" s="16">
        <f t="shared" si="67"/>
        <v>3062.4027777777892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183750.00000000084</v>
      </c>
      <c r="C78" s="15">
        <f t="shared" si="71"/>
        <v>2295.3437500000105</v>
      </c>
      <c r="D78" s="16">
        <f t="shared" si="56"/>
        <v>0</v>
      </c>
      <c r="E78" s="16">
        <f t="shared" si="57"/>
        <v>5212.010416666677</v>
      </c>
      <c r="F78" s="17">
        <f t="shared" si="72"/>
        <v>148750.00000000096</v>
      </c>
      <c r="G78" s="15">
        <f t="shared" si="73"/>
        <v>1858.1354166666786</v>
      </c>
      <c r="H78" s="16">
        <f t="shared" si="58"/>
        <v>0</v>
      </c>
      <c r="I78" s="16">
        <f t="shared" si="59"/>
        <v>4774.8020833333449</v>
      </c>
      <c r="J78" s="17">
        <f t="shared" si="74"/>
        <v>113750.00000000099</v>
      </c>
      <c r="K78" s="15">
        <f t="shared" si="75"/>
        <v>1420.9270833333458</v>
      </c>
      <c r="L78" s="16">
        <f t="shared" si="60"/>
        <v>0</v>
      </c>
      <c r="M78" s="16">
        <f t="shared" si="61"/>
        <v>4337.5937500000127</v>
      </c>
      <c r="N78" s="17">
        <f t="shared" si="76"/>
        <v>78750.000000000931</v>
      </c>
      <c r="O78" s="15">
        <f t="shared" si="77"/>
        <v>983.7187500000116</v>
      </c>
      <c r="P78" s="16">
        <f t="shared" si="62"/>
        <v>0</v>
      </c>
      <c r="Q78" s="16">
        <f t="shared" si="63"/>
        <v>3900.3854166666779</v>
      </c>
      <c r="R78" s="17">
        <f t="shared" si="78"/>
        <v>43750.000000000931</v>
      </c>
      <c r="S78" s="15">
        <f t="shared" si="79"/>
        <v>546.51041666667834</v>
      </c>
      <c r="T78" s="16">
        <f t="shared" si="64"/>
        <v>0</v>
      </c>
      <c r="U78" s="16">
        <f t="shared" si="65"/>
        <v>3463.1770833333449</v>
      </c>
      <c r="V78" s="17">
        <f t="shared" si="80"/>
        <v>8750.0000000009331</v>
      </c>
      <c r="W78" s="15">
        <f t="shared" si="81"/>
        <v>109.302083333345</v>
      </c>
      <c r="X78" s="16">
        <f t="shared" si="66"/>
        <v>0</v>
      </c>
      <c r="Y78" s="16">
        <f t="shared" si="67"/>
        <v>3025.9687500000114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180833.33333333419</v>
      </c>
      <c r="C79" s="15">
        <f t="shared" si="71"/>
        <v>2258.9097222222331</v>
      </c>
      <c r="D79" s="16">
        <f t="shared" si="56"/>
        <v>0</v>
      </c>
      <c r="E79" s="16">
        <f t="shared" si="57"/>
        <v>5175.5763888888996</v>
      </c>
      <c r="F79" s="17">
        <f t="shared" si="72"/>
        <v>145833.3333333343</v>
      </c>
      <c r="G79" s="15">
        <f t="shared" si="73"/>
        <v>1821.701388888901</v>
      </c>
      <c r="H79" s="16">
        <f t="shared" si="58"/>
        <v>0</v>
      </c>
      <c r="I79" s="16">
        <f t="shared" si="59"/>
        <v>4738.3680555555675</v>
      </c>
      <c r="J79" s="17">
        <f t="shared" si="74"/>
        <v>110833.33333333432</v>
      </c>
      <c r="K79" s="15">
        <f t="shared" si="75"/>
        <v>1384.4930555555679</v>
      </c>
      <c r="L79" s="16">
        <f t="shared" si="60"/>
        <v>0</v>
      </c>
      <c r="M79" s="16">
        <f t="shared" si="61"/>
        <v>4301.1597222222344</v>
      </c>
      <c r="N79" s="17">
        <f t="shared" si="76"/>
        <v>75833.33333333426</v>
      </c>
      <c r="O79" s="15">
        <f t="shared" si="77"/>
        <v>947.28472222223377</v>
      </c>
      <c r="P79" s="16">
        <f t="shared" si="62"/>
        <v>0</v>
      </c>
      <c r="Q79" s="16">
        <f t="shared" si="63"/>
        <v>3863.9513888889005</v>
      </c>
      <c r="R79" s="17">
        <f t="shared" si="78"/>
        <v>40833.333333334267</v>
      </c>
      <c r="S79" s="15">
        <f t="shared" si="79"/>
        <v>510.07638888890057</v>
      </c>
      <c r="T79" s="16">
        <f t="shared" si="64"/>
        <v>0</v>
      </c>
      <c r="U79" s="16">
        <f t="shared" si="65"/>
        <v>3426.743055555567</v>
      </c>
      <c r="V79" s="17">
        <f t="shared" si="80"/>
        <v>5833.3333333342671</v>
      </c>
      <c r="W79" s="15">
        <f t="shared" si="81"/>
        <v>72.868055555567224</v>
      </c>
      <c r="X79" s="16">
        <f t="shared" si="66"/>
        <v>0</v>
      </c>
      <c r="Y79" s="16">
        <f t="shared" si="67"/>
        <v>2989.5347222222335</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177916.66666666753</v>
      </c>
      <c r="C80" s="15">
        <f t="shared" si="71"/>
        <v>2222.4756944444553</v>
      </c>
      <c r="D80" s="16">
        <f t="shared" si="56"/>
        <v>0</v>
      </c>
      <c r="E80" s="16">
        <f t="shared" si="57"/>
        <v>5139.1423611111222</v>
      </c>
      <c r="F80" s="17">
        <f t="shared" si="72"/>
        <v>142916.66666666765</v>
      </c>
      <c r="G80" s="15">
        <f t="shared" si="73"/>
        <v>1785.2673611111234</v>
      </c>
      <c r="H80" s="16">
        <f t="shared" si="58"/>
        <v>0</v>
      </c>
      <c r="I80" s="16">
        <f t="shared" si="59"/>
        <v>4701.9340277777901</v>
      </c>
      <c r="J80" s="17">
        <f t="shared" si="74"/>
        <v>107916.66666666765</v>
      </c>
      <c r="K80" s="15">
        <f t="shared" si="75"/>
        <v>1348.0590277777901</v>
      </c>
      <c r="L80" s="16">
        <f t="shared" si="60"/>
        <v>0</v>
      </c>
      <c r="M80" s="16">
        <f t="shared" si="61"/>
        <v>4264.7256944444562</v>
      </c>
      <c r="N80" s="17">
        <f t="shared" si="76"/>
        <v>72916.666666667588</v>
      </c>
      <c r="O80" s="15">
        <f t="shared" si="77"/>
        <v>910.85069444445594</v>
      </c>
      <c r="P80" s="16">
        <f t="shared" si="62"/>
        <v>0</v>
      </c>
      <c r="Q80" s="16">
        <f t="shared" si="63"/>
        <v>3827.5173611111222</v>
      </c>
      <c r="R80" s="17">
        <f t="shared" si="78"/>
        <v>37916.666666667603</v>
      </c>
      <c r="S80" s="15">
        <f t="shared" si="79"/>
        <v>473.6423611111228</v>
      </c>
      <c r="T80" s="16">
        <f t="shared" si="64"/>
        <v>0</v>
      </c>
      <c r="U80" s="16">
        <f t="shared" si="65"/>
        <v>3390.3090277777892</v>
      </c>
      <c r="V80" s="17">
        <f t="shared" si="80"/>
        <v>2916.6666666676006</v>
      </c>
      <c r="W80" s="15">
        <f t="shared" si="81"/>
        <v>36.434027777789446</v>
      </c>
      <c r="X80" s="16">
        <f t="shared" si="66"/>
        <v>3086</v>
      </c>
      <c r="Y80" s="16">
        <f t="shared" si="67"/>
        <v>6039.1006944444562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29074.354166666788</v>
      </c>
      <c r="D81" s="21">
        <f>SUM(D69:D80)</f>
        <v>4470.0000000000055</v>
      </c>
      <c r="E81" s="21">
        <f>SUM(E69:E80)</f>
        <v>68544.354166666788</v>
      </c>
      <c r="F81" s="19"/>
      <c r="G81" s="20">
        <f>SUM(G69:G80)</f>
        <v>23827.854166666806</v>
      </c>
      <c r="H81" s="21">
        <f>SUM(H69:H80)</f>
        <v>4225.0000000000064</v>
      </c>
      <c r="I81" s="21">
        <f>SUM(I69:I80)</f>
        <v>63052.854166666802</v>
      </c>
      <c r="J81" s="19"/>
      <c r="K81" s="20">
        <f>SUM(K69:K80)</f>
        <v>18581.354166666817</v>
      </c>
      <c r="L81" s="21">
        <f>SUM(L69:L80)</f>
        <v>3980.0000000000068</v>
      </c>
      <c r="M81" s="21">
        <f>SUM(M69:M80)</f>
        <v>57561.354166666817</v>
      </c>
      <c r="N81" s="19"/>
      <c r="O81" s="20">
        <f>SUM(O69:O80)</f>
        <v>13334.854166666808</v>
      </c>
      <c r="P81" s="21">
        <f>SUM(P69:P80)</f>
        <v>3735.0000000000068</v>
      </c>
      <c r="Q81" s="21">
        <f>SUM(Q69:Q80)</f>
        <v>52069.854166666817</v>
      </c>
      <c r="R81" s="19"/>
      <c r="S81" s="20">
        <f>SUM(S69:S80)</f>
        <v>8088.3541666668061</v>
      </c>
      <c r="T81" s="21">
        <f>SUM(T69:T80)</f>
        <v>3490.0000000000064</v>
      </c>
      <c r="U81" s="21">
        <f>SUM(U69:U80)</f>
        <v>46578.35416666681</v>
      </c>
      <c r="V81" s="19"/>
      <c r="W81" s="20">
        <f>SUM(W69:W80)</f>
        <v>2841.8541666668066</v>
      </c>
      <c r="X81" s="21">
        <f>SUM(X69:X80)</f>
        <v>6331.0000000000064</v>
      </c>
      <c r="Y81" s="21">
        <f>SUM(Y69:Y80)</f>
        <v>44172.854166666817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45" t="s">
        <v>72</v>
      </c>
      <c r="B83" s="45"/>
      <c r="C83" s="45"/>
      <c r="D83" s="45"/>
      <c r="E83" s="45"/>
      <c r="F83" s="45"/>
      <c r="G83" s="45"/>
      <c r="H83" s="45"/>
      <c r="I83" s="45"/>
      <c r="J83" s="45"/>
      <c r="K83" s="24">
        <f>K84+K85</f>
        <v>1082735.177083337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45" t="s">
        <v>73</v>
      </c>
      <c r="B84" s="45"/>
      <c r="C84" s="45"/>
      <c r="D84" s="45"/>
      <c r="E84" s="45"/>
      <c r="F84" s="45"/>
      <c r="G84" s="45"/>
      <c r="H84" s="45"/>
      <c r="I84" s="45"/>
      <c r="J84" s="45"/>
      <c r="K84" s="24">
        <f>C51+G51+K51+O51+S51+W51+AA51+C66+G66+K66+O66+S66+W66+AA66+C81+G81+K81+O81+S81+W81+AA81+$J$21*sumkred2+$J$22+$J$24*sumkred2</f>
        <v>952929.17708333686</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45" t="s">
        <v>74</v>
      </c>
      <c r="B85" s="45"/>
      <c r="C85" s="45"/>
      <c r="D85" s="45"/>
      <c r="E85" s="45"/>
      <c r="F85" s="45"/>
      <c r="G85" s="45"/>
      <c r="H85" s="45"/>
      <c r="I85" s="45"/>
      <c r="J85" s="45"/>
      <c r="K85" s="24">
        <f>D51+H51+L51+P51+T51+X51+AB51+D66+H66+L66+P66+T66+X66+AB66+D81+H81+L81+P81+T81+X81+AB81-($J$21*sumkred2+$J$22+$J$24*sumkred2)</f>
        <v>129806.00000000012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45" t="s">
        <v>75</v>
      </c>
      <c r="B86" s="45"/>
      <c r="C86" s="45"/>
      <c r="D86" s="45"/>
      <c r="E86" s="45"/>
      <c r="F86" s="45"/>
      <c r="G86" s="45"/>
      <c r="H86" s="45"/>
      <c r="I86" s="45"/>
      <c r="J86" s="45"/>
      <c r="K86" s="24">
        <f>E51+I51+M51+Q51+U51+Y51+AC51+E66+I66+M66+Q66+U66+Y66+AC66+E81+I81+M81+Q81+U81+Y81+AC81</f>
        <v>1782735.1770833363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44" t="s">
        <v>76</v>
      </c>
      <c r="B87" s="44"/>
      <c r="C87" s="44"/>
      <c r="D87" s="44"/>
      <c r="E87" s="44"/>
      <c r="F87" s="44"/>
      <c r="G87" s="44"/>
      <c r="H87" s="44"/>
      <c r="I87" s="44"/>
      <c r="J87" s="44"/>
      <c r="K87" s="25">
        <f ca="1">XIRR(C97:C337,B97:B337)</f>
        <v>0.15108020901679994</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45" t="s">
        <v>77</v>
      </c>
      <c r="B88" s="45"/>
      <c r="C88" s="45"/>
      <c r="D88" s="45"/>
      <c r="E88" s="45"/>
      <c r="F88" s="45"/>
      <c r="G88" s="45"/>
      <c r="H88" s="45"/>
      <c r="I88" s="45"/>
      <c r="J88" s="45"/>
      <c r="K88" s="45"/>
      <c r="L88" s="46"/>
      <c r="M88" s="46"/>
      <c r="N88" s="46"/>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45" t="s">
        <v>78</v>
      </c>
      <c r="B89" s="45"/>
      <c r="C89" s="45"/>
      <c r="D89" s="45"/>
      <c r="E89" s="45"/>
      <c r="F89" s="45"/>
      <c r="G89" s="45"/>
      <c r="H89" s="45"/>
      <c r="I89" s="45"/>
      <c r="J89" s="45"/>
      <c r="K89" s="45"/>
      <c r="L89" s="45"/>
      <c r="M89" s="45"/>
      <c r="N89" s="45"/>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45" t="s">
        <v>79</v>
      </c>
      <c r="B90" s="45"/>
      <c r="C90" s="45"/>
      <c r="D90" s="45"/>
      <c r="E90" s="45"/>
      <c r="F90" s="45"/>
      <c r="G90" s="45"/>
      <c r="H90" s="45"/>
      <c r="I90" s="45"/>
      <c r="J90" s="45"/>
      <c r="K90" s="45"/>
      <c r="L90" s="45"/>
      <c r="M90" s="45"/>
      <c r="N90" s="45"/>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43" t="s">
        <v>80</v>
      </c>
      <c r="B92" s="43"/>
      <c r="C92" s="47">
        <f ca="1">TODAY()</f>
        <v>44070</v>
      </c>
      <c r="D92" s="47"/>
      <c r="E92" s="47"/>
      <c r="F92" s="47"/>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41" t="s">
        <v>81</v>
      </c>
      <c r="B94" s="41"/>
      <c r="C94" s="42"/>
      <c r="D94" s="42"/>
      <c r="E94" s="42"/>
      <c r="F94" s="42"/>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41"/>
      <c r="B95" s="41"/>
      <c r="C95" s="43" t="s">
        <v>82</v>
      </c>
      <c r="D95" s="43"/>
      <c r="E95" s="43"/>
      <c r="F95" s="43"/>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44070</v>
      </c>
      <c r="C97" s="27">
        <f>-sumkred2+D39</f>
        <v>-676830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44101</v>
      </c>
      <c r="C98" s="30">
        <f>E39-D39</f>
        <v>5833.3333333333358</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44131</v>
      </c>
      <c r="C99" s="30">
        <f t="shared" ref="C99:C109" si="84">E40</f>
        <v>5821.1805555555557</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44162</v>
      </c>
      <c r="C100" s="30">
        <f t="shared" si="84"/>
        <v>5809.0277777777774</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44192</v>
      </c>
      <c r="C101" s="30">
        <f t="shared" si="84"/>
        <v>5796.875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44223</v>
      </c>
      <c r="C102" s="30">
        <f t="shared" si="84"/>
        <v>5784.7222222222226</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44254</v>
      </c>
      <c r="C103" s="30">
        <f t="shared" si="84"/>
        <v>5772.5694444444453</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44282</v>
      </c>
      <c r="C104" s="30">
        <f t="shared" si="84"/>
        <v>5760.4166666666679</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44313</v>
      </c>
      <c r="C105" s="30">
        <f t="shared" si="84"/>
        <v>5748.2638888888905</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44343</v>
      </c>
      <c r="C106" s="30">
        <f t="shared" si="84"/>
        <v>5736.1111111111122</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44374</v>
      </c>
      <c r="C107" s="30">
        <f t="shared" si="84"/>
        <v>5723.9583333333339</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44404</v>
      </c>
      <c r="C108" s="30">
        <f t="shared" si="84"/>
        <v>5711.8055555555566</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44435</v>
      </c>
      <c r="C109" s="30">
        <f t="shared" si="84"/>
        <v>5699.6527777777792</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44466</v>
      </c>
      <c r="C110" s="27">
        <f t="shared" ref="C110:C121" si="86">I39</f>
        <v>13342.500000000005</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44496</v>
      </c>
      <c r="C111" s="27">
        <f t="shared" si="86"/>
        <v>5675.3472222222244</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44527</v>
      </c>
      <c r="C112" s="27">
        <f t="shared" si="86"/>
        <v>5663.1944444444471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44557</v>
      </c>
      <c r="C113" s="27">
        <f t="shared" si="86"/>
        <v>11114.322916666673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44588</v>
      </c>
      <c r="C114" s="27">
        <f t="shared" si="86"/>
        <v>11077.888888888896</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44619</v>
      </c>
      <c r="C115" s="27">
        <f t="shared" si="86"/>
        <v>11041.454861111119</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44647</v>
      </c>
      <c r="C116" s="27">
        <f t="shared" si="86"/>
        <v>11005.020833333341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44678</v>
      </c>
      <c r="C117" s="27">
        <f t="shared" si="86"/>
        <v>10968.586805555564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44708</v>
      </c>
      <c r="C118" s="27">
        <f t="shared" si="86"/>
        <v>10932.152777777786</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44739</v>
      </c>
      <c r="C119" s="27">
        <f t="shared" si="86"/>
        <v>5578.1250000000036</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44769</v>
      </c>
      <c r="C120" s="27">
        <f t="shared" si="86"/>
        <v>5565.9722222222263</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44800</v>
      </c>
      <c r="C121" s="27">
        <f t="shared" si="86"/>
        <v>5553.819444444448</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44831</v>
      </c>
      <c r="C122" s="27">
        <f t="shared" ref="C122:C133" si="87">M39</f>
        <v>18196.416666666686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44861</v>
      </c>
      <c r="C123" s="27">
        <f t="shared" si="87"/>
        <v>10749.982638888901</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44892</v>
      </c>
      <c r="C124" s="27">
        <f t="shared" si="87"/>
        <v>10713.548611111124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44922</v>
      </c>
      <c r="C125" s="27">
        <f t="shared" si="87"/>
        <v>10677.114583333347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44953</v>
      </c>
      <c r="C126" s="27">
        <f t="shared" si="87"/>
        <v>10640.680555555569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44984</v>
      </c>
      <c r="C127" s="27">
        <f t="shared" si="87"/>
        <v>10604.246527777792</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45012</v>
      </c>
      <c r="C128" s="27">
        <f t="shared" si="87"/>
        <v>10567.812500000015</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45043</v>
      </c>
      <c r="C129" s="27">
        <f t="shared" si="87"/>
        <v>10531.378472222237</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45073</v>
      </c>
      <c r="C130" s="27">
        <f t="shared" si="87"/>
        <v>10494.94444444446</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45104</v>
      </c>
      <c r="C131" s="27">
        <f t="shared" si="87"/>
        <v>10458.510416666682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45134</v>
      </c>
      <c r="C132" s="27">
        <f t="shared" si="87"/>
        <v>10422.076388888905</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45165</v>
      </c>
      <c r="C133" s="27">
        <f t="shared" si="87"/>
        <v>10385.642361111128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45196</v>
      </c>
      <c r="C134" s="27">
        <f t="shared" ref="C134:C145" si="88">Q39</f>
        <v>17514.208333333361</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45226</v>
      </c>
      <c r="C135" s="27">
        <f t="shared" si="88"/>
        <v>10312.774305555573</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45257</v>
      </c>
      <c r="C136" s="27">
        <f t="shared" si="88"/>
        <v>10276.340277777796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45287</v>
      </c>
      <c r="C137" s="27">
        <f t="shared" si="88"/>
        <v>10239.906250000018</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45318</v>
      </c>
      <c r="C138" s="27">
        <f t="shared" si="88"/>
        <v>10203.472222222241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45349</v>
      </c>
      <c r="C139" s="27">
        <f t="shared" si="88"/>
        <v>10167.038194444463</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45378</v>
      </c>
      <c r="C140" s="27">
        <f t="shared" si="88"/>
        <v>10130.604166666686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45409</v>
      </c>
      <c r="C141" s="27">
        <f t="shared" si="88"/>
        <v>10094.170138888909</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45439</v>
      </c>
      <c r="C142" s="27">
        <f t="shared" si="88"/>
        <v>10057.736111111131</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45470</v>
      </c>
      <c r="C143" s="27">
        <f t="shared" si="88"/>
        <v>10021.302083333356</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45500</v>
      </c>
      <c r="C144" s="27">
        <f t="shared" si="88"/>
        <v>9984.8680555555784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45531</v>
      </c>
      <c r="C145" s="27">
        <f t="shared" si="88"/>
        <v>9948.434027777801</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45562</v>
      </c>
      <c r="C146" s="27">
        <f t="shared" ref="C146:C157" si="89">U39</f>
        <v>16832.000000000036</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45592</v>
      </c>
      <c r="C147" s="27">
        <f t="shared" si="89"/>
        <v>9875.5659722222463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45623</v>
      </c>
      <c r="C148" s="27">
        <f t="shared" si="89"/>
        <v>9839.1319444444689</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45653</v>
      </c>
      <c r="C149" s="27">
        <f t="shared" si="89"/>
        <v>9802.6979166666915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45684</v>
      </c>
      <c r="C150" s="27">
        <f t="shared" si="89"/>
        <v>9766.2638888889142</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45715</v>
      </c>
      <c r="C151" s="27">
        <f t="shared" si="89"/>
        <v>9729.8298611111368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45743</v>
      </c>
      <c r="C152" s="27">
        <f t="shared" si="89"/>
        <v>9693.3958333333594</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45774</v>
      </c>
      <c r="C153" s="27">
        <f t="shared" si="89"/>
        <v>9656.961805555582</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45804</v>
      </c>
      <c r="C154" s="27">
        <f t="shared" si="89"/>
        <v>9620.5277777778047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45835</v>
      </c>
      <c r="C155" s="27">
        <f t="shared" si="89"/>
        <v>9584.0937500000273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45865</v>
      </c>
      <c r="C156" s="27">
        <f t="shared" si="89"/>
        <v>9547.6597222222499</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45896</v>
      </c>
      <c r="C157" s="27">
        <f t="shared" si="89"/>
        <v>9511.2256944444725</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45927</v>
      </c>
      <c r="C158" s="27">
        <f t="shared" ref="C158:C169" si="90">Y39</f>
        <v>16149.791666666712</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45957</v>
      </c>
      <c r="C159" s="27">
        <f t="shared" si="90"/>
        <v>9438.3576388889178</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45988</v>
      </c>
      <c r="C160" s="27">
        <f t="shared" si="90"/>
        <v>9401.9236111111386</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46018</v>
      </c>
      <c r="C161" s="27">
        <f t="shared" si="90"/>
        <v>9365.4895833333612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46049</v>
      </c>
      <c r="C162" s="27">
        <f t="shared" si="90"/>
        <v>9329.0555555555839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46080</v>
      </c>
      <c r="C163" s="27">
        <f t="shared" si="90"/>
        <v>9292.6215277778047</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46108</v>
      </c>
      <c r="C164" s="27">
        <f t="shared" si="90"/>
        <v>9256.1875000000273</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46139</v>
      </c>
      <c r="C165" s="27">
        <f t="shared" si="90"/>
        <v>9219.7534722222499</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46169</v>
      </c>
      <c r="C166" s="27">
        <f t="shared" si="90"/>
        <v>9183.3194444444707</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46200</v>
      </c>
      <c r="C167" s="27">
        <f t="shared" si="90"/>
        <v>9146.8854166666933</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46230</v>
      </c>
      <c r="C168" s="27">
        <f t="shared" si="90"/>
        <v>9110.451388888916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46261</v>
      </c>
      <c r="C169" s="27">
        <f t="shared" si="90"/>
        <v>9074.0173611111368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46292</v>
      </c>
      <c r="C170" s="27">
        <f t="shared" ref="C170:C181" si="92">AC39</f>
        <v>15467.583333333374</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46322</v>
      </c>
      <c r="C171" s="27">
        <f t="shared" si="92"/>
        <v>9001.149305555582</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46353</v>
      </c>
      <c r="C172" s="27">
        <f t="shared" si="92"/>
        <v>8964.7152777778028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46383</v>
      </c>
      <c r="C173" s="27">
        <f t="shared" si="92"/>
        <v>8928.2812500000255</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46414</v>
      </c>
      <c r="C174" s="27">
        <f t="shared" si="92"/>
        <v>8891.8472222222481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46445</v>
      </c>
      <c r="C175" s="27">
        <f t="shared" si="92"/>
        <v>8855.4131944444689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46473</v>
      </c>
      <c r="C176" s="27">
        <f t="shared" si="92"/>
        <v>8818.9791666666915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46504</v>
      </c>
      <c r="C177" s="27">
        <f t="shared" si="92"/>
        <v>8782.5451388889123</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46534</v>
      </c>
      <c r="C178" s="27">
        <f t="shared" si="92"/>
        <v>8746.111111111135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46565</v>
      </c>
      <c r="C179" s="27">
        <f t="shared" si="92"/>
        <v>8709.6770833333576</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46595</v>
      </c>
      <c r="C180" s="27">
        <f t="shared" si="92"/>
        <v>8673.2430555555784</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46626</v>
      </c>
      <c r="C181" s="27">
        <f t="shared" si="92"/>
        <v>8636.809027777801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46657</v>
      </c>
      <c r="C182" s="27">
        <f t="shared" ref="C182:C193" si="93">E54</f>
        <v>14785.375000000035</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46687</v>
      </c>
      <c r="C183" s="27">
        <f t="shared" si="93"/>
        <v>8563.9409722222445</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46718</v>
      </c>
      <c r="C184" s="27">
        <f t="shared" si="93"/>
        <v>8527.5069444444671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46748</v>
      </c>
      <c r="C185" s="27">
        <f t="shared" si="93"/>
        <v>8491.0729166666897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46779</v>
      </c>
      <c r="C186" s="27">
        <f t="shared" si="93"/>
        <v>8454.6388888889105</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46810</v>
      </c>
      <c r="C187" s="27">
        <f t="shared" si="93"/>
        <v>8418.2048611111331</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46839</v>
      </c>
      <c r="C188" s="27">
        <f t="shared" si="93"/>
        <v>8381.7708333333558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46870</v>
      </c>
      <c r="C189" s="27">
        <f t="shared" si="93"/>
        <v>8345.3368055555766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46900</v>
      </c>
      <c r="C190" s="27">
        <f t="shared" si="93"/>
        <v>8308.9027777777992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46931</v>
      </c>
      <c r="C191" s="27">
        <f t="shared" si="93"/>
        <v>8272.46875000002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46961</v>
      </c>
      <c r="C192" s="27">
        <f t="shared" si="93"/>
        <v>8236.0347222222426</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46992</v>
      </c>
      <c r="C193" s="27">
        <f t="shared" si="93"/>
        <v>8199.6006944444653</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47023</v>
      </c>
      <c r="C194" s="27">
        <f t="shared" ref="C194:C205" si="94">I54</f>
        <v>14103.166666666697</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47053</v>
      </c>
      <c r="C195" s="27">
        <f t="shared" si="94"/>
        <v>8126.7326388889087</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47084</v>
      </c>
      <c r="C196" s="27">
        <f t="shared" si="94"/>
        <v>8090.2986111111313</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47114</v>
      </c>
      <c r="C197" s="27">
        <f t="shared" si="94"/>
        <v>8053.8645833333521</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47145</v>
      </c>
      <c r="C198" s="27">
        <f t="shared" si="94"/>
        <v>8017.4305555555748</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47176</v>
      </c>
      <c r="C199" s="27">
        <f t="shared" si="94"/>
        <v>7980.9965277777974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47204</v>
      </c>
      <c r="C200" s="27">
        <f t="shared" si="94"/>
        <v>7944.5625000000182</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47235</v>
      </c>
      <c r="C201" s="27">
        <f t="shared" si="94"/>
        <v>7908.1284722222408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47265</v>
      </c>
      <c r="C202" s="27">
        <f t="shared" si="94"/>
        <v>7871.6944444444634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47296</v>
      </c>
      <c r="C203" s="27">
        <f t="shared" si="94"/>
        <v>7835.2604166666843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47326</v>
      </c>
      <c r="C204" s="27">
        <f t="shared" si="94"/>
        <v>7798.8263888889069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47357</v>
      </c>
      <c r="C205" s="27">
        <f t="shared" si="94"/>
        <v>7762.3923611111295</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47388</v>
      </c>
      <c r="C206" s="27">
        <f t="shared" ref="C206:C217" si="95">M54</f>
        <v>13420.958333333359</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47418</v>
      </c>
      <c r="C207" s="27">
        <f t="shared" si="95"/>
        <v>7689.5243055555729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47449</v>
      </c>
      <c r="C208" s="27">
        <f t="shared" si="95"/>
        <v>7653.0902777777937</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47479</v>
      </c>
      <c r="C209" s="27">
        <f t="shared" si="95"/>
        <v>7616.6562500000164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47510</v>
      </c>
      <c r="C210" s="27">
        <f t="shared" si="95"/>
        <v>7580.222222222239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47541</v>
      </c>
      <c r="C211" s="27">
        <f t="shared" si="95"/>
        <v>7543.7881944444598</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47569</v>
      </c>
      <c r="C212" s="27">
        <f t="shared" si="95"/>
        <v>7507.3541666666824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47600</v>
      </c>
      <c r="C213" s="27">
        <f t="shared" si="95"/>
        <v>7470.9201388889051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47630</v>
      </c>
      <c r="C214" s="27">
        <f t="shared" si="95"/>
        <v>7434.4861111111259</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47661</v>
      </c>
      <c r="C215" s="27">
        <f t="shared" si="95"/>
        <v>7398.0520833333485</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47691</v>
      </c>
      <c r="C216" s="27">
        <f t="shared" si="95"/>
        <v>7361.6180555555711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47722</v>
      </c>
      <c r="C217" s="27">
        <f t="shared" si="95"/>
        <v>7325.1840277777919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47753</v>
      </c>
      <c r="C218" s="16">
        <f t="shared" ref="C218:C229" si="96">Q54</f>
        <v>12738.750000000022</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47783</v>
      </c>
      <c r="C219" s="16">
        <f t="shared" si="96"/>
        <v>7252.3159722222372</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47814</v>
      </c>
      <c r="C220" s="16">
        <f t="shared" si="96"/>
        <v>7215.881944444458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47844</v>
      </c>
      <c r="C221" s="16">
        <f t="shared" si="96"/>
        <v>7179.4479166666806</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47875</v>
      </c>
      <c r="C222" s="16">
        <f t="shared" si="96"/>
        <v>7143.0138888889014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47906</v>
      </c>
      <c r="C223" s="16">
        <f t="shared" si="96"/>
        <v>7106.579861111124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47934</v>
      </c>
      <c r="C224" s="16">
        <f t="shared" si="96"/>
        <v>7070.1458333333467</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47965</v>
      </c>
      <c r="C225" s="16">
        <f t="shared" si="96"/>
        <v>7033.7118055555675</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47995</v>
      </c>
      <c r="C226" s="16">
        <f t="shared" si="96"/>
        <v>6997.2777777777901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48026</v>
      </c>
      <c r="C227" s="16">
        <f t="shared" si="96"/>
        <v>6960.8437500000127</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48056</v>
      </c>
      <c r="C228" s="16">
        <f t="shared" si="96"/>
        <v>6924.4097222222335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48087</v>
      </c>
      <c r="C229" s="16">
        <f t="shared" si="96"/>
        <v>6887.9756944444562</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48118</v>
      </c>
      <c r="C230" s="16">
        <f t="shared" ref="C230:C241" si="98">U54</f>
        <v>12056.541666666684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48148</v>
      </c>
      <c r="C231" s="16">
        <f t="shared" si="98"/>
        <v>6815.1076388888996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48179</v>
      </c>
      <c r="C232" s="16">
        <f t="shared" si="98"/>
        <v>6778.6736111111222</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48209</v>
      </c>
      <c r="C233" s="16">
        <f t="shared" si="98"/>
        <v>6742.2395833333439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48240</v>
      </c>
      <c r="C234" s="16">
        <f t="shared" si="98"/>
        <v>6705.8055555555657</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48271</v>
      </c>
      <c r="C235" s="16">
        <f t="shared" si="98"/>
        <v>6669.3715277777883</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48300</v>
      </c>
      <c r="C236" s="16">
        <f t="shared" si="98"/>
        <v>6632.93750000001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48331</v>
      </c>
      <c r="C237" s="16">
        <f t="shared" si="98"/>
        <v>6596.5034722222317</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48361</v>
      </c>
      <c r="C238" s="16">
        <f t="shared" si="98"/>
        <v>6560.0694444444543</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48392</v>
      </c>
      <c r="C239" s="16">
        <f t="shared" si="98"/>
        <v>6523.6354166666761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48422</v>
      </c>
      <c r="C240" s="16">
        <f t="shared" si="98"/>
        <v>6487.2013888888978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48453</v>
      </c>
      <c r="C241" s="16">
        <f t="shared" si="98"/>
        <v>6450.7673611111204</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48484</v>
      </c>
      <c r="C242" s="16">
        <f t="shared" ref="C242:C253" si="99">Y54</f>
        <v>11374.333333333347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48514</v>
      </c>
      <c r="C243" s="16">
        <f t="shared" si="99"/>
        <v>6377.8993055555638</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48545</v>
      </c>
      <c r="C244" s="16">
        <f t="shared" si="99"/>
        <v>6341.4652777777865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48575</v>
      </c>
      <c r="C245" s="16">
        <f t="shared" si="99"/>
        <v>6305.0312500000073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48606</v>
      </c>
      <c r="C246" s="16">
        <f t="shared" si="99"/>
        <v>6268.5972222222299</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48637</v>
      </c>
      <c r="C247" s="16">
        <f t="shared" si="99"/>
        <v>6232.1631944444516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48665</v>
      </c>
      <c r="C248" s="16">
        <f t="shared" si="99"/>
        <v>6195.7291666666733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48696</v>
      </c>
      <c r="C249" s="16">
        <f t="shared" si="99"/>
        <v>6159.295138888896</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48726</v>
      </c>
      <c r="C250" s="16">
        <f t="shared" si="99"/>
        <v>6122.8611111111186</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48757</v>
      </c>
      <c r="C251" s="16">
        <f t="shared" si="99"/>
        <v>6086.4270833333412</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48787</v>
      </c>
      <c r="C252" s="16">
        <f t="shared" si="99"/>
        <v>6049.9930555555629</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48818</v>
      </c>
      <c r="C253" s="16">
        <f t="shared" si="99"/>
        <v>6013.5590277777856</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48849</v>
      </c>
      <c r="C254" s="16">
        <f t="shared" ref="C254:C265" si="100">AC54</f>
        <v>10692.125000000013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48879</v>
      </c>
      <c r="C255" s="16">
        <f t="shared" si="100"/>
        <v>5940.6909722222299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48910</v>
      </c>
      <c r="C256" s="16">
        <f t="shared" si="100"/>
        <v>5904.2569444444525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48940</v>
      </c>
      <c r="C257" s="16">
        <f t="shared" si="100"/>
        <v>5867.8229166666752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48971</v>
      </c>
      <c r="C258" s="16">
        <f t="shared" si="100"/>
        <v>5831.3888888888978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49002</v>
      </c>
      <c r="C259" s="16">
        <f t="shared" si="100"/>
        <v>5794.9548611111195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49030</v>
      </c>
      <c r="C260" s="16">
        <f t="shared" si="100"/>
        <v>5758.5208333333412</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49061</v>
      </c>
      <c r="C261" s="16">
        <f t="shared" si="100"/>
        <v>5722.0868055555638</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49091</v>
      </c>
      <c r="C262" s="16">
        <f t="shared" si="100"/>
        <v>5685.6527777777865</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49122</v>
      </c>
      <c r="C263" s="16">
        <f t="shared" si="100"/>
        <v>5649.2187500000091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49152</v>
      </c>
      <c r="C264" s="16">
        <f t="shared" si="100"/>
        <v>5612.7847222222317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49183</v>
      </c>
      <c r="C265" s="16">
        <f t="shared" si="100"/>
        <v>5576.3506944444534</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49214</v>
      </c>
      <c r="C266" s="16">
        <f t="shared" ref="C266:C277" si="101">E69</f>
        <v>10009.916666666681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49244</v>
      </c>
      <c r="C267" s="16">
        <f t="shared" si="101"/>
        <v>5503.4826388888978</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49275</v>
      </c>
      <c r="C268" s="16">
        <f t="shared" si="101"/>
        <v>5467.0486111111204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49305</v>
      </c>
      <c r="C269" s="16">
        <f t="shared" si="101"/>
        <v>5430.614583333343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49336</v>
      </c>
      <c r="C270" s="16">
        <f t="shared" si="101"/>
        <v>5394.1805555555657</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49367</v>
      </c>
      <c r="C271" s="16">
        <f t="shared" si="101"/>
        <v>5357.7465277777883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49395</v>
      </c>
      <c r="C272" s="16">
        <f t="shared" si="101"/>
        <v>5321.31250000001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49426</v>
      </c>
      <c r="C273" s="16">
        <f t="shared" si="101"/>
        <v>5284.8784722222317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49456</v>
      </c>
      <c r="C274" s="16">
        <f t="shared" si="101"/>
        <v>5248.4444444444543</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49487</v>
      </c>
      <c r="C275" s="16">
        <f t="shared" si="101"/>
        <v>5212.010416666677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49517</v>
      </c>
      <c r="C276" s="16">
        <f t="shared" si="101"/>
        <v>5175.5763888888996</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49548</v>
      </c>
      <c r="C277" s="16">
        <f t="shared" si="101"/>
        <v>5139.1423611111222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49579</v>
      </c>
      <c r="C278" s="16">
        <f t="shared" ref="C278:C289" si="102">I69</f>
        <v>9327.7083333333503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49609</v>
      </c>
      <c r="C279" s="16">
        <f t="shared" si="102"/>
        <v>5066.2743055555666</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49640</v>
      </c>
      <c r="C280" s="16">
        <f t="shared" si="102"/>
        <v>5029.8402777777883</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49670</v>
      </c>
      <c r="C281" s="16">
        <f t="shared" si="102"/>
        <v>4993.4062500000109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49701</v>
      </c>
      <c r="C282" s="16">
        <f t="shared" si="102"/>
        <v>4956.9722222222335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49732</v>
      </c>
      <c r="C283" s="16">
        <f t="shared" si="102"/>
        <v>4920.5381944444562</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49761</v>
      </c>
      <c r="C284" s="16">
        <f t="shared" si="102"/>
        <v>4884.1041666666779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49792</v>
      </c>
      <c r="C285" s="16">
        <f t="shared" si="102"/>
        <v>4847.6701388889005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49822</v>
      </c>
      <c r="C286" s="16">
        <f t="shared" si="102"/>
        <v>4811.2361111111231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49853</v>
      </c>
      <c r="C287" s="16">
        <f t="shared" si="102"/>
        <v>4774.8020833333449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49883</v>
      </c>
      <c r="C288" s="16">
        <f t="shared" si="102"/>
        <v>4738.3680555555675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49914</v>
      </c>
      <c r="C289" s="16">
        <f t="shared" si="102"/>
        <v>4701.9340277777901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49945</v>
      </c>
      <c r="C290" s="16">
        <f t="shared" ref="C290:C301" si="103">M69</f>
        <v>8645.5000000000182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49975</v>
      </c>
      <c r="C291" s="16">
        <f t="shared" si="103"/>
        <v>4629.0659722222344</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50006</v>
      </c>
      <c r="C292" s="16">
        <f t="shared" si="103"/>
        <v>4592.6319444444571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50036</v>
      </c>
      <c r="C293" s="16">
        <f t="shared" si="103"/>
        <v>4556.1979166666788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50067</v>
      </c>
      <c r="C294" s="16">
        <f t="shared" si="103"/>
        <v>4519.7638888889014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50098</v>
      </c>
      <c r="C295" s="16">
        <f t="shared" si="103"/>
        <v>4483.329861111124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50126</v>
      </c>
      <c r="C296" s="16">
        <f t="shared" si="103"/>
        <v>4446.8958333333458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50157</v>
      </c>
      <c r="C297" s="16">
        <f t="shared" si="103"/>
        <v>4410.4618055555675</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50187</v>
      </c>
      <c r="C298" s="16">
        <f t="shared" si="103"/>
        <v>4374.0277777777901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50218</v>
      </c>
      <c r="C299" s="16">
        <f t="shared" si="103"/>
        <v>4337.5937500000127</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50248</v>
      </c>
      <c r="C300" s="16">
        <f t="shared" si="103"/>
        <v>4301.1597222222344</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50279</v>
      </c>
      <c r="C301" s="16">
        <f t="shared" si="103"/>
        <v>4264.7256944444562</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50310</v>
      </c>
      <c r="C302" s="16">
        <f t="shared" ref="C302:C313" si="105">Q69</f>
        <v>7963.2916666666861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50340</v>
      </c>
      <c r="C303" s="16">
        <f t="shared" si="105"/>
        <v>4191.8576388889005</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50371</v>
      </c>
      <c r="C304" s="16">
        <f t="shared" si="105"/>
        <v>4155.4236111111231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50401</v>
      </c>
      <c r="C305" s="16">
        <f t="shared" si="105"/>
        <v>4118.9895833333449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50432</v>
      </c>
      <c r="C306" s="16">
        <f t="shared" si="105"/>
        <v>4082.5555555555675</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50463</v>
      </c>
      <c r="C307" s="16">
        <f t="shared" si="105"/>
        <v>4046.1215277777892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50491</v>
      </c>
      <c r="C308" s="16">
        <f t="shared" si="105"/>
        <v>4009.6875000000118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50522</v>
      </c>
      <c r="C309" s="16">
        <f t="shared" si="105"/>
        <v>3973.2534722222335</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50552</v>
      </c>
      <c r="C310" s="16">
        <f t="shared" si="105"/>
        <v>3936.8194444444562</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50583</v>
      </c>
      <c r="C311" s="16">
        <f t="shared" si="105"/>
        <v>3900.3854166666779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50613</v>
      </c>
      <c r="C312" s="16">
        <f t="shared" si="105"/>
        <v>3863.9513888889005</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50644</v>
      </c>
      <c r="C313" s="16">
        <f t="shared" si="105"/>
        <v>3827.5173611111222</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50675</v>
      </c>
      <c r="C314" s="27">
        <f t="shared" ref="C314:C325" si="106">U69</f>
        <v>7281.0833333333503</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50705</v>
      </c>
      <c r="C315" s="27">
        <f t="shared" si="106"/>
        <v>3754.6493055555666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50736</v>
      </c>
      <c r="C316" s="27">
        <f t="shared" si="106"/>
        <v>3718.2152777777892</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50766</v>
      </c>
      <c r="C317" s="27">
        <f t="shared" si="106"/>
        <v>3681.7812500000114</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50797</v>
      </c>
      <c r="C318" s="27">
        <f t="shared" si="106"/>
        <v>3645.3472222222335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50828</v>
      </c>
      <c r="C319" s="27">
        <f t="shared" si="106"/>
        <v>3608.9131944444557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50856</v>
      </c>
      <c r="C320" s="27">
        <f t="shared" si="106"/>
        <v>3572.4791666666779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50887</v>
      </c>
      <c r="C321" s="27">
        <f t="shared" si="106"/>
        <v>3536.0451388889005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50917</v>
      </c>
      <c r="C322" s="27">
        <f t="shared" si="106"/>
        <v>3499.6111111111227</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50948</v>
      </c>
      <c r="C323" s="27">
        <f t="shared" si="106"/>
        <v>3463.1770833333449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50978</v>
      </c>
      <c r="C324" s="27">
        <f t="shared" si="106"/>
        <v>3426.743055555567</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51009</v>
      </c>
      <c r="C325" s="27">
        <f t="shared" si="106"/>
        <v>3390.3090277777892</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51040</v>
      </c>
      <c r="C326" s="27">
        <f t="shared" ref="C326:C337" si="107">Y69</f>
        <v>6598.8750000000182</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51070</v>
      </c>
      <c r="C327" s="27">
        <f t="shared" si="107"/>
        <v>3317.4409722222335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51101</v>
      </c>
      <c r="C328" s="27">
        <f t="shared" si="107"/>
        <v>3281.0069444444562</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51131</v>
      </c>
      <c r="C329" s="27">
        <f t="shared" si="107"/>
        <v>3244.5729166666783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51162</v>
      </c>
      <c r="C330" s="27">
        <f t="shared" si="107"/>
        <v>3208.1388888889005</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51193</v>
      </c>
      <c r="C331" s="27">
        <f t="shared" si="107"/>
        <v>3171.7048611111227</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51222</v>
      </c>
      <c r="C332" s="27">
        <f t="shared" si="107"/>
        <v>3135.2708333333449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51253</v>
      </c>
      <c r="C333" s="27">
        <f t="shared" si="107"/>
        <v>3098.836805555567</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51283</v>
      </c>
      <c r="C334" s="27">
        <f t="shared" si="107"/>
        <v>3062.4027777777892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51314</v>
      </c>
      <c r="C335" s="27">
        <f t="shared" si="107"/>
        <v>3025.9687500000114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51344</v>
      </c>
      <c r="C336" s="27">
        <f t="shared" si="107"/>
        <v>2989.5347222222335</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51375</v>
      </c>
      <c r="C337" s="27">
        <f t="shared" si="107"/>
        <v>6039.1006944444562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FUDWFgEAqcmd+OJMgcjhRA3QYMwiPNZDrQsPQr8WbYR6DB6NH1Tz9fvmTb+Y+kJ2CDiIzch+l/5Q9Y9AOf9cgQ==" saltValue="NRyAER6ajBU8CY03jWZWNw=="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9</xdr:col>
                    <xdr:colOff>0</xdr:colOff>
                    <xdr:row>16</xdr:row>
                    <xdr:rowOff>190500</xdr:rowOff>
                  </from>
                  <to>
                    <xdr:col>11</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Київміськбуд</vt:lpstr>
      <vt:lpstr>'Калькулятор Київміськбуд'!avans2</vt:lpstr>
      <vt:lpstr>'Калькулятор Київміськбуд'!data2</vt:lpstr>
      <vt:lpstr>'Калькулятор Київміськбуд'!strok</vt:lpstr>
      <vt:lpstr>'Калькулятор Київміськбуд'!strok2</vt:lpstr>
      <vt:lpstr>'Калькулятор Київміськбуд'!sumkred2</vt:lpstr>
      <vt:lpstr>'Калькулятор Київміськбуд'!sumproplat2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Хапіліна Олена Анатоліївна</cp:lastModifiedBy>
  <cp:lastPrinted>2020-08-05T11:29:05Z</cp:lastPrinted>
  <dcterms:created xsi:type="dcterms:W3CDTF">2020-07-30T13:50:45Z</dcterms:created>
  <dcterms:modified xsi:type="dcterms:W3CDTF">2020-08-27T09:16:53Z</dcterms:modified>
</cp:coreProperties>
</file>