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A:\СЗ\маркетологи\300821\"/>
    </mc:Choice>
  </mc:AlternateContent>
  <bookViews>
    <workbookView xWindow="0" yWindow="0" windowWidth="25200" windowHeight="11400" tabRatio="280"/>
  </bookViews>
  <sheets>
    <sheet name="Календар" sheetId="3" r:id="rId1"/>
  </sheets>
  <definedNames>
    <definedName name="avans2">#REF!</definedName>
    <definedName name="data2">#REF!</definedName>
    <definedName name="LastFIO" localSheetId="0">Календар!#REF!</definedName>
    <definedName name="proc2">#REF!</definedName>
    <definedName name="stoimost2">#REF!</definedName>
    <definedName name="strok2">#REF!</definedName>
    <definedName name="sumkred2">#REF!</definedName>
    <definedName name="sumproplat2">#REF!</definedName>
    <definedName name="_xlnm.Print_Area" localSheetId="0">Календар!$B$2:$R$59</definedName>
  </definedNames>
  <calcPr calcId="162913"/>
</workbook>
</file>

<file path=xl/calcChain.xml><?xml version="1.0" encoding="utf-8"?>
<calcChain xmlns="http://schemas.openxmlformats.org/spreadsheetml/2006/main">
  <c r="R16" i="3" l="1"/>
  <c r="O14" i="3"/>
  <c r="B49" i="3" s="1"/>
  <c r="S49" i="3" s="1"/>
  <c r="E36" i="3"/>
  <c r="E37" i="3" s="1"/>
  <c r="B3" i="3"/>
  <c r="E3" i="3"/>
  <c r="D30" i="3"/>
  <c r="P19" i="3"/>
  <c r="P21" i="3"/>
  <c r="P12" i="3"/>
  <c r="J14" i="3"/>
  <c r="J13" i="3"/>
  <c r="J12" i="3"/>
  <c r="B19" i="3"/>
  <c r="B8" i="3"/>
  <c r="B9" i="3"/>
  <c r="F21" i="3"/>
  <c r="B7" i="3"/>
  <c r="B6" i="3"/>
  <c r="J19" i="3"/>
  <c r="J16" i="3"/>
  <c r="E4" i="3"/>
  <c r="B14" i="3"/>
  <c r="R10" i="3"/>
  <c r="B22" i="3"/>
  <c r="B21" i="3"/>
  <c r="B12" i="3"/>
  <c r="B10" i="3"/>
  <c r="D5" i="3"/>
  <c r="D4" i="3"/>
  <c r="D3" i="3"/>
  <c r="B36" i="3"/>
  <c r="O16" i="3" l="1"/>
  <c r="B48" i="3" s="1"/>
  <c r="S36" i="3"/>
  <c r="O37" i="3" s="1"/>
  <c r="J36" i="3"/>
  <c r="D36" i="3" s="1"/>
  <c r="A48" i="3"/>
  <c r="P18" i="3"/>
  <c r="B37" i="3"/>
  <c r="Q37" i="3" l="1"/>
  <c r="S37" i="3"/>
  <c r="O38" i="3" s="1"/>
  <c r="J37" i="3"/>
  <c r="R37" i="3"/>
  <c r="P16" i="3"/>
  <c r="F37" i="3"/>
  <c r="C37" i="3"/>
  <c r="T37" i="3"/>
  <c r="B38" i="3"/>
  <c r="E38" i="3" l="1"/>
  <c r="S38" i="3" s="1"/>
  <c r="O39" i="3" s="1"/>
  <c r="R38" i="3"/>
  <c r="J38" i="3"/>
  <c r="B39" i="3"/>
  <c r="C38" i="3"/>
  <c r="T38" i="3"/>
  <c r="J39" i="3" l="1"/>
  <c r="F39" i="3"/>
  <c r="T39" i="3"/>
  <c r="B40" i="3"/>
  <c r="C39" i="3"/>
  <c r="E39" i="3"/>
  <c r="Q39" i="3"/>
  <c r="R39" i="3"/>
  <c r="D39" i="3" l="1"/>
  <c r="C40" i="3"/>
  <c r="T40" i="3"/>
  <c r="B41" i="3"/>
  <c r="S39" i="3"/>
  <c r="O40" i="3" s="1"/>
  <c r="E40" i="3" l="1"/>
  <c r="S40" i="3" s="1"/>
  <c r="O41" i="3" s="1"/>
  <c r="J40" i="3"/>
  <c r="F40" i="3"/>
  <c r="R40" i="3"/>
  <c r="T41" i="3"/>
  <c r="C41" i="3"/>
  <c r="B42" i="3"/>
  <c r="E41" i="3" l="1"/>
  <c r="S41" i="3" s="1"/>
  <c r="O42" i="3" s="1"/>
  <c r="R41" i="3"/>
  <c r="F41" i="3"/>
  <c r="Q41" i="3"/>
  <c r="J41" i="3"/>
  <c r="B43" i="3"/>
  <c r="T42" i="3"/>
  <c r="C42" i="3"/>
  <c r="D41" i="3" l="1"/>
  <c r="C43" i="3"/>
  <c r="B44" i="3"/>
  <c r="T43" i="3"/>
  <c r="E42" i="3"/>
  <c r="S42" i="3" s="1"/>
  <c r="O43" i="3" s="1"/>
  <c r="F42" i="3"/>
  <c r="R42" i="3" s="1"/>
  <c r="J42" i="3"/>
  <c r="E43" i="3" l="1"/>
  <c r="S43" i="3" s="1"/>
  <c r="O44" i="3" s="1"/>
  <c r="R43" i="3"/>
  <c r="J43" i="3"/>
  <c r="Q43" i="3"/>
  <c r="F43" i="3"/>
  <c r="T44" i="3"/>
  <c r="C44" i="3"/>
  <c r="B45" i="3"/>
  <c r="D43" i="3" l="1"/>
  <c r="C45" i="3"/>
  <c r="B46" i="3"/>
  <c r="T45" i="3"/>
  <c r="E44" i="3"/>
  <c r="S44" i="3" s="1"/>
  <c r="O45" i="3" s="1"/>
  <c r="F44" i="3"/>
  <c r="R44" i="3" s="1"/>
  <c r="J44" i="3"/>
  <c r="T46" i="3" l="1"/>
  <c r="B47" i="3"/>
  <c r="C46" i="3"/>
  <c r="E45" i="3"/>
  <c r="S45" i="3" s="1"/>
  <c r="O46" i="3" s="1"/>
  <c r="F45" i="3"/>
  <c r="R45" i="3"/>
  <c r="Q45" i="3"/>
  <c r="J45" i="3"/>
  <c r="D45" i="3" l="1"/>
  <c r="E46" i="3"/>
  <c r="S46" i="3" s="1"/>
  <c r="O47" i="3" s="1"/>
  <c r="J46" i="3"/>
  <c r="F46" i="3"/>
  <c r="R46" i="3"/>
  <c r="C47" i="3"/>
  <c r="T47" i="3"/>
  <c r="Q36" i="3"/>
  <c r="C48" i="3"/>
  <c r="E47" i="3" l="1"/>
  <c r="S47" i="3" s="1"/>
  <c r="O48" i="3" s="1"/>
  <c r="F47" i="3"/>
  <c r="R47" i="3"/>
  <c r="J47" i="3"/>
  <c r="Q47" i="3"/>
  <c r="D47" i="3" l="1"/>
  <c r="F48" i="3"/>
  <c r="F49" i="3" s="1"/>
  <c r="E48" i="3"/>
  <c r="J48" i="3"/>
  <c r="J49" i="3" s="1"/>
  <c r="M48" i="3"/>
  <c r="M49" i="3" s="1"/>
  <c r="H48" i="3"/>
  <c r="H49" i="3" s="1"/>
  <c r="I48" i="3"/>
  <c r="I49" i="3" s="1"/>
  <c r="G48" i="3"/>
  <c r="G49" i="3" s="1"/>
  <c r="K48" i="3"/>
  <c r="K49" i="3" s="1"/>
  <c r="L48" i="3"/>
  <c r="L49" i="3" s="1"/>
  <c r="P48" i="3"/>
  <c r="P49" i="3" s="1"/>
  <c r="O49" i="3"/>
  <c r="N48" i="3"/>
  <c r="N49" i="3" s="1"/>
  <c r="E49" i="3" l="1"/>
  <c r="R48" i="3"/>
  <c r="K54" i="3"/>
  <c r="K53" i="3"/>
  <c r="S48" i="3"/>
  <c r="R49" i="3" l="1"/>
  <c r="K55" i="3" s="1"/>
  <c r="K52" i="3" s="1"/>
  <c r="D37" i="3" l="1"/>
  <c r="Q38" i="3" l="1"/>
  <c r="D38" i="3"/>
  <c r="D40" i="3" s="1"/>
  <c r="D42" i="3"/>
  <c r="D46" i="3"/>
  <c r="Q46" i="3" l="1"/>
  <c r="Q48" i="3"/>
  <c r="Q44" i="3"/>
  <c r="Q40" i="3"/>
  <c r="Q42" i="3"/>
  <c r="D48" i="3"/>
  <c r="D44" i="3"/>
  <c r="Q49" i="3" l="1"/>
  <c r="K56" i="3" s="1"/>
  <c r="D49" i="3"/>
</calcChain>
</file>

<file path=xl/sharedStrings.xml><?xml version="1.0" encoding="utf-8"?>
<sst xmlns="http://schemas.openxmlformats.org/spreadsheetml/2006/main" count="63" uniqueCount="61">
  <si>
    <t>розрахунково-касове обслуговування</t>
  </si>
  <si>
    <t>Х</t>
  </si>
  <si>
    <t>Залишок заборгованості</t>
  </si>
  <si>
    <t>Кількість місяців використання овердрафту</t>
  </si>
  <si>
    <t>Комісія за встановлення ліміту овердрафту
(оплачується одноразово при встановленні ліміту)</t>
  </si>
  <si>
    <t>Для розрахунку приймається варіант  подорожчання кредиту за таких умов:</t>
  </si>
  <si>
    <t>Процента ставка в пільговий період</t>
  </si>
  <si>
    <t>х</t>
  </si>
  <si>
    <t>банку</t>
  </si>
  <si>
    <t>за обслуговування кредитної заборгованості</t>
  </si>
  <si>
    <t>кредитного посередника (за наявності)</t>
  </si>
  <si>
    <t>комісійний збір</t>
  </si>
  <si>
    <t>інша плата за послуги кредитного посередника</t>
  </si>
  <si>
    <t>третіх осіб</t>
  </si>
  <si>
    <t>послуги нотаріуса</t>
  </si>
  <si>
    <t>послуги оцінювача</t>
  </si>
  <si>
    <t>послуги страховика</t>
  </si>
  <si>
    <t>7</t>
  </si>
  <si>
    <t>№ з/п</t>
  </si>
  <si>
    <t>2</t>
  </si>
  <si>
    <t>3</t>
  </si>
  <si>
    <t>4</t>
  </si>
  <si>
    <t>5</t>
  </si>
  <si>
    <t>Кількість днів у розрахунковому періоді</t>
  </si>
  <si>
    <t>Дата видачі кредиту у формі овердафту/ дата платежу</t>
  </si>
  <si>
    <t>сума кредиту у формі овердрафту за договором</t>
  </si>
  <si>
    <t>6</t>
  </si>
  <si>
    <t>проценти за користування кредитом у формі овердрафту</t>
  </si>
  <si>
    <t>Види платежів за кредитом у формі оведрафту</t>
  </si>
  <si>
    <t>8</t>
  </si>
  <si>
    <t>9</t>
  </si>
  <si>
    <t>10</t>
  </si>
  <si>
    <t>комісія за видачу готівки 
в установах та банкоматах  АБ "УКРГАЗБАНК"</t>
  </si>
  <si>
    <t>11</t>
  </si>
  <si>
    <t>12</t>
  </si>
  <si>
    <t>13</t>
  </si>
  <si>
    <t>14</t>
  </si>
  <si>
    <t>15</t>
  </si>
  <si>
    <t>16</t>
  </si>
  <si>
    <t>інші послуги третії осіб</t>
  </si>
  <si>
    <t>Овер-ДРАЙВ</t>
  </si>
  <si>
    <t>17</t>
  </si>
  <si>
    <t>18</t>
  </si>
  <si>
    <t xml:space="preserve">Реальна річна процентна ставка, 
% </t>
  </si>
  <si>
    <t>Загальна вартість кредиту, грн</t>
  </si>
  <si>
    <t>Таблиця обчислення загальної вартості кредиту для Клієнта та реальної річної процентної ставки за договором про споживчий кредит на початкову (запитувану) суму ліміту дозволеного овердрафту:</t>
  </si>
  <si>
    <r>
      <t xml:space="preserve">комісія за надання </t>
    </r>
    <r>
      <rPr>
        <b/>
        <sz val="8"/>
        <rFont val="Arial Cyr"/>
        <family val="2"/>
        <charset val="204"/>
      </rPr>
      <t>кредиту у формі овердрафту</t>
    </r>
  </si>
  <si>
    <t>Еко-кредитка</t>
  </si>
  <si>
    <t xml:space="preserve">платежі за супровідні послуги </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</si>
  <si>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</si>
  <si>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</si>
  <si>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</si>
  <si>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</si>
  <si>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</si>
  <si>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</si>
  <si>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</si>
  <si>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</si>
  <si>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r>
      <t xml:space="preserve">Калькулятор витрат
 за програмою кредитування </t>
    </r>
    <r>
      <rPr>
        <b/>
        <sz val="14"/>
        <rFont val="Arial Cyr"/>
        <charset val="204"/>
      </rPr>
      <t>"Еко-кредитка"</t>
    </r>
  </si>
  <si>
    <t>Комісія за видачу готівкових грошових коштів в установах та банкоматах  АБ  УКРГАЗБАНК від суми видачі готівки, якщо сума перевищує 1001,00 грн.</t>
  </si>
  <si>
    <t>Щомісячний платіж за страхування життя власника рахунку від фактичної заборгованості станом на 1-е число місяця (не стягується у разі наявності заборгованості менше ніж 100 грн, та/або відсутності операцій по рахунку у звітному місяці) становить</t>
  </si>
  <si>
    <r>
      <t xml:space="preserve">Погашення основної суми боргу за дозволеним овердрафтом здійснюватиметься щомісяця до 25 числа та становить </t>
    </r>
    <r>
      <rPr>
        <b/>
        <sz val="10"/>
        <rFont val="Times New Roman"/>
        <family val="1"/>
        <charset val="204"/>
      </rPr>
      <t>7%</t>
    </r>
    <r>
      <rPr>
        <sz val="10"/>
        <rFont val="Times New Roman"/>
        <family val="1"/>
        <charset val="204"/>
      </rPr>
      <t xml:space="preserve">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</si>
</sst>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
    <numFmt numFmtId="166" formatCode="#,##0.0000"/>
    <numFmt numFmtId="167" formatCode="0.0000%"/>
    <numFmt numFmtId="168" formatCode="0.00000%"/>
  </numFmts>
  <fonts count="29" x14ac:knownFonts="1">
    <font>
      <sz val="10"/>
      <name val="Arial Cyr"/>
      <charset val="204"/>
    </font>
    <font>
      <sz val="10"/>
      <name val="Arial Cyr"/>
      <charset val="204"/>
    </font>
    <font>
      <sz val="8"/>
      <name val="Arial Cyr"/>
      <family val="2"/>
      <charset val="204"/>
    </font>
    <font>
      <b/>
      <sz val="8"/>
      <color indexed="10"/>
      <name val="Arial Cyr"/>
      <family val="2"/>
      <charset val="204"/>
    </font>
    <font>
      <sz val="14"/>
      <name val="Arial Cyr"/>
      <family val="2"/>
      <charset val="204"/>
    </font>
    <font>
      <sz val="8"/>
      <name val="Arial Cyr"/>
      <family val="2"/>
      <charset val="204"/>
    </font>
    <font>
      <b/>
      <sz val="8"/>
      <name val="Arial Cyr"/>
      <family val="2"/>
      <charset val="204"/>
    </font>
    <font>
      <b/>
      <sz val="9"/>
      <name val="Arial Cyr"/>
      <charset val="204"/>
    </font>
    <font>
      <sz val="8"/>
      <name val="Arial Cyr"/>
      <charset val="204"/>
    </font>
    <font>
      <b/>
      <sz val="8"/>
      <name val="Arial Cyr"/>
      <charset val="204"/>
    </font>
    <font>
      <sz val="11"/>
      <name val="Times New Roman"/>
      <family val="1"/>
      <charset val="204"/>
    </font>
    <font>
      <sz val="10"/>
      <name val="Arial Cyr"/>
      <charset val="204"/>
    </font>
    <font>
      <sz val="8"/>
      <name val="Times New Roman"/>
      <family val="1"/>
      <charset val="204"/>
    </font>
    <font>
      <sz val="11"/>
      <color theme="1"/>
      <name val="Calibri"/>
      <family val="2"/>
      <scheme val="minor"/>
    </font>
    <font>
      <sz val="8"/>
      <color theme="0"/>
      <name val="Arial Cyr"/>
      <family val="2"/>
      <charset val="204"/>
    </font>
    <font>
      <b/>
      <sz val="8"/>
      <color theme="0"/>
      <name val="Arial Cyr"/>
      <family val="2"/>
      <charset val="204"/>
    </font>
    <font>
      <sz val="14"/>
      <color theme="0"/>
      <name val="Arial Cyr"/>
      <family val="2"/>
      <charset val="204"/>
    </font>
    <font>
      <b/>
      <sz val="8"/>
      <color rgb="FFFF0000"/>
      <name val="Arial Cyr"/>
      <charset val="204"/>
    </font>
    <font>
      <sz val="9"/>
      <color theme="0"/>
      <name val="Arial Cyr"/>
      <family val="2"/>
      <charset val="204"/>
    </font>
    <font>
      <sz val="8"/>
      <color theme="0" tint="-0.14999847407452621"/>
      <name val="Arial Cyr"/>
      <family val="2"/>
      <charset val="204"/>
    </font>
    <font>
      <sz val="14"/>
      <color theme="0" tint="-0.14999847407452621"/>
      <name val="Arial Cyr"/>
      <family val="2"/>
      <charset val="204"/>
    </font>
    <font>
      <sz val="8"/>
      <color theme="0" tint="-0.14999847407452621"/>
      <name val="Arial Cyr"/>
      <charset val="204"/>
    </font>
    <font>
      <sz val="12"/>
      <name val="Calibri"/>
      <family val="2"/>
      <charset val="204"/>
      <scheme val="minor"/>
    </font>
    <font>
      <sz val="8"/>
      <color theme="1"/>
      <name val="Arial Cyr"/>
      <family val="2"/>
      <charset val="204"/>
    </font>
    <font>
      <sz val="14"/>
      <name val="Arial Cyr"/>
      <charset val="204"/>
    </font>
    <font>
      <b/>
      <sz val="14"/>
      <name val="Arial Cyr"/>
      <charset val="204"/>
    </font>
    <font>
      <sz val="10"/>
      <name val="Times New Roman"/>
      <family val="1"/>
      <charset val="204"/>
    </font>
    <font>
      <b/>
      <sz val="10"/>
      <name val="Times New Roman"/>
      <family val="1"/>
      <charset val="204"/>
    </font>
    <font>
      <sz val="12"/>
      <name val="Arial Cyr"/>
      <family val="2"/>
      <charset val="204"/>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3" fillId="0" borderId="0"/>
    <xf numFmtId="9" fontId="1" fillId="0" borderId="0" applyFont="0" applyFill="0" applyBorder="0" applyAlignment="0" applyProtection="0"/>
    <xf numFmtId="9" fontId="11" fillId="0" borderId="0" applyFont="0" applyFill="0" applyBorder="0" applyAlignment="0" applyProtection="0"/>
    <xf numFmtId="164" fontId="1" fillId="0" borderId="0" applyFont="0" applyFill="0" applyBorder="0" applyAlignment="0" applyProtection="0"/>
  </cellStyleXfs>
  <cellXfs count="144">
    <xf numFmtId="0" fontId="0" fillId="0" borderId="0" xfId="0"/>
    <xf numFmtId="14" fontId="2" fillId="0" borderId="4" xfId="0" applyNumberFormat="1" applyFont="1" applyBorder="1" applyAlignment="1" applyProtection="1">
      <alignment horizontal="left"/>
      <protection hidden="1"/>
    </xf>
    <xf numFmtId="4" fontId="9" fillId="0" borderId="4" xfId="0" applyNumberFormat="1" applyFont="1" applyBorder="1" applyAlignment="1" applyProtection="1">
      <alignment horizontal="left" vertical="center"/>
      <protection hidden="1"/>
    </xf>
    <xf numFmtId="4" fontId="10" fillId="2" borderId="4" xfId="0" applyNumberFormat="1" applyFont="1" applyFill="1" applyBorder="1" applyAlignment="1" applyProtection="1">
      <protection hidden="1"/>
    </xf>
    <xf numFmtId="0" fontId="10" fillId="2" borderId="0" xfId="0" applyFont="1" applyFill="1" applyAlignment="1" applyProtection="1">
      <protection hidden="1"/>
    </xf>
    <xf numFmtId="4" fontId="10" fillId="3" borderId="7" xfId="0" applyNumberFormat="1" applyFont="1" applyFill="1" applyBorder="1" applyProtection="1">
      <protection hidden="1"/>
    </xf>
    <xf numFmtId="10" fontId="10" fillId="3" borderId="7" xfId="0" applyNumberFormat="1" applyFont="1" applyFill="1" applyBorder="1" applyProtection="1">
      <protection hidden="1"/>
    </xf>
    <xf numFmtId="4" fontId="12" fillId="0" borderId="1" xfId="0" applyNumberFormat="1" applyFont="1" applyFill="1" applyBorder="1" applyAlignment="1" applyProtection="1">
      <alignment horizontal="center" vertical="center"/>
      <protection hidden="1"/>
    </xf>
    <xf numFmtId="10" fontId="12" fillId="0" borderId="1" xfId="3" applyNumberFormat="1" applyFont="1" applyFill="1" applyBorder="1" applyAlignment="1" applyProtection="1">
      <alignment horizontal="center"/>
      <protection hidden="1"/>
    </xf>
    <xf numFmtId="164" fontId="12" fillId="0" borderId="1" xfId="4" applyFont="1" applyFill="1" applyBorder="1" applyAlignment="1" applyProtection="1">
      <alignment horizontal="center"/>
      <protection hidden="1"/>
    </xf>
    <xf numFmtId="4" fontId="12" fillId="0" borderId="1" xfId="0" applyNumberFormat="1" applyFont="1" applyFill="1" applyBorder="1" applyAlignment="1" applyProtection="1">
      <alignment horizontal="center"/>
      <protection hidden="1"/>
    </xf>
    <xf numFmtId="4" fontId="12" fillId="0" borderId="0" xfId="0" applyNumberFormat="1" applyFont="1" applyFill="1" applyProtection="1">
      <protection hidden="1"/>
    </xf>
    <xf numFmtId="14" fontId="12" fillId="0" borderId="1" xfId="0" applyNumberFormat="1" applyFont="1" applyFill="1" applyBorder="1" applyAlignment="1" applyProtection="1">
      <alignment horizontal="center" vertical="center"/>
      <protection hidden="1"/>
    </xf>
    <xf numFmtId="0" fontId="0" fillId="0" borderId="0" xfId="0" applyProtection="1">
      <protection hidden="1"/>
    </xf>
    <xf numFmtId="0" fontId="26" fillId="0" borderId="0" xfId="0" applyFont="1" applyProtection="1">
      <protection hidden="1"/>
    </xf>
    <xf numFmtId="0" fontId="27" fillId="0" borderId="16" xfId="0" applyFont="1" applyBorder="1" applyProtection="1">
      <protection hidden="1"/>
    </xf>
    <xf numFmtId="0" fontId="27" fillId="0" borderId="17" xfId="0" applyFont="1" applyBorder="1" applyProtection="1">
      <protection hidden="1"/>
    </xf>
    <xf numFmtId="4" fontId="26" fillId="0" borderId="17" xfId="0" applyNumberFormat="1" applyFont="1" applyBorder="1" applyAlignment="1" applyProtection="1">
      <alignment horizontal="left"/>
      <protection hidden="1"/>
    </xf>
    <xf numFmtId="0" fontId="26" fillId="0" borderId="17" xfId="0" applyFont="1" applyBorder="1" applyProtection="1">
      <protection hidden="1"/>
    </xf>
    <xf numFmtId="14" fontId="26" fillId="0" borderId="18" xfId="0" applyNumberFormat="1" applyFont="1" applyBorder="1" applyProtection="1">
      <protection hidden="1"/>
    </xf>
    <xf numFmtId="10" fontId="27" fillId="0" borderId="4" xfId="0" applyNumberFormat="1" applyFont="1" applyBorder="1" applyAlignment="1" applyProtection="1">
      <alignment horizontal="center"/>
      <protection hidden="1"/>
    </xf>
    <xf numFmtId="10" fontId="27" fillId="0" borderId="15" xfId="0" applyNumberFormat="1" applyFont="1" applyBorder="1" applyProtection="1">
      <protection hidden="1"/>
    </xf>
    <xf numFmtId="0" fontId="2" fillId="0" borderId="0" xfId="0" applyFont="1" applyProtection="1">
      <protection hidden="1"/>
    </xf>
    <xf numFmtId="0" fontId="14" fillId="0" borderId="0" xfId="0" applyFont="1" applyProtection="1">
      <protection hidden="1"/>
    </xf>
    <xf numFmtId="0" fontId="19" fillId="0" borderId="0" xfId="0" applyFont="1" applyProtection="1">
      <protection hidden="1"/>
    </xf>
    <xf numFmtId="0" fontId="14" fillId="0" borderId="0" xfId="0" applyFont="1" applyAlignment="1" applyProtection="1">
      <alignment horizontal="left"/>
      <protection hidden="1"/>
    </xf>
    <xf numFmtId="0" fontId="16" fillId="0" borderId="0" xfId="0" applyFont="1" applyProtection="1">
      <protection hidden="1"/>
    </xf>
    <xf numFmtId="0" fontId="20" fillId="0" borderId="0" xfId="0" applyFont="1" applyProtection="1">
      <protection hidden="1"/>
    </xf>
    <xf numFmtId="0" fontId="18" fillId="0" borderId="0" xfId="0" applyFont="1" applyProtection="1">
      <protection hidden="1"/>
    </xf>
    <xf numFmtId="0" fontId="16" fillId="0" borderId="0" xfId="0" applyFont="1" applyAlignment="1" applyProtection="1">
      <alignment horizontal="left"/>
      <protection hidden="1"/>
    </xf>
    <xf numFmtId="0" fontId="6" fillId="0" borderId="0" xfId="0" applyFont="1" applyProtection="1">
      <protection hidden="1"/>
    </xf>
    <xf numFmtId="0" fontId="2" fillId="0" borderId="0" xfId="0" applyFont="1" applyAlignment="1" applyProtection="1">
      <alignment horizontal="left"/>
      <protection hidden="1"/>
    </xf>
    <xf numFmtId="0" fontId="2" fillId="0" borderId="0" xfId="0" applyFont="1" applyBorder="1" applyProtection="1">
      <protection hidden="1"/>
    </xf>
    <xf numFmtId="0" fontId="17" fillId="0" borderId="0" xfId="0" applyFont="1" applyBorder="1" applyAlignment="1" applyProtection="1">
      <alignment horizontal="left"/>
      <protection hidden="1"/>
    </xf>
    <xf numFmtId="166" fontId="14" fillId="0" borderId="0" xfId="0" applyNumberFormat="1" applyFont="1" applyBorder="1" applyAlignment="1" applyProtection="1">
      <alignment horizontal="right"/>
      <protection hidden="1"/>
    </xf>
    <xf numFmtId="165" fontId="14" fillId="0" borderId="0" xfId="2" applyNumberFormat="1" applyFont="1" applyProtection="1">
      <protection hidden="1"/>
    </xf>
    <xf numFmtId="0" fontId="2" fillId="0" borderId="0" xfId="0" applyFont="1" applyBorder="1" applyAlignment="1" applyProtection="1">
      <alignment horizontal="left"/>
      <protection hidden="1"/>
    </xf>
    <xf numFmtId="4" fontId="2" fillId="0" borderId="4" xfId="0" applyNumberFormat="1" applyFont="1" applyBorder="1" applyAlignment="1" applyProtection="1">
      <alignment horizontal="left" vertical="center"/>
      <protection hidden="1"/>
    </xf>
    <xf numFmtId="0" fontId="14" fillId="0" borderId="0" xfId="0" applyFont="1" applyBorder="1" applyProtection="1">
      <protection hidden="1"/>
    </xf>
    <xf numFmtId="4" fontId="14" fillId="0" borderId="0" xfId="0" applyNumberFormat="1" applyFont="1" applyProtection="1">
      <protection hidden="1"/>
    </xf>
    <xf numFmtId="0" fontId="2" fillId="0" borderId="4" xfId="0" applyFont="1" applyBorder="1" applyProtection="1">
      <protection hidden="1"/>
    </xf>
    <xf numFmtId="0" fontId="2" fillId="2" borderId="0" xfId="0" applyFont="1" applyFill="1" applyProtection="1">
      <protection hidden="1"/>
    </xf>
    <xf numFmtId="0" fontId="2" fillId="2" borderId="0" xfId="0" applyFont="1" applyFill="1" applyAlignment="1" applyProtection="1">
      <alignment horizontal="left"/>
      <protection hidden="1"/>
    </xf>
    <xf numFmtId="0" fontId="3" fillId="0" borderId="0" xfId="0" applyFont="1" applyProtection="1">
      <protection hidden="1"/>
    </xf>
    <xf numFmtId="0" fontId="2" fillId="0" borderId="0" xfId="0" applyFont="1" applyAlignment="1" applyProtection="1">
      <alignment wrapText="1"/>
      <protection hidden="1"/>
    </xf>
    <xf numFmtId="165" fontId="2" fillId="0" borderId="4" xfId="0" applyNumberFormat="1" applyFont="1" applyBorder="1" applyAlignment="1" applyProtection="1">
      <alignment horizontal="center"/>
      <protection hidden="1"/>
    </xf>
    <xf numFmtId="165" fontId="2" fillId="0" borderId="0" xfId="0" applyNumberFormat="1" applyFont="1" applyBorder="1" applyAlignment="1" applyProtection="1">
      <alignment horizontal="center"/>
      <protection hidden="1"/>
    </xf>
    <xf numFmtId="0" fontId="5" fillId="0" borderId="0" xfId="0" applyFont="1" applyBorder="1" applyAlignment="1" applyProtection="1">
      <alignment horizontal="left" vertical="center"/>
      <protection hidden="1"/>
    </xf>
    <xf numFmtId="1" fontId="2" fillId="0" borderId="4" xfId="0" applyNumberFormat="1" applyFont="1" applyBorder="1" applyAlignment="1" applyProtection="1">
      <alignment horizontal="left" vertical="center"/>
      <protection hidden="1"/>
    </xf>
    <xf numFmtId="0" fontId="15" fillId="0" borderId="0" xfId="0" applyFont="1" applyProtection="1">
      <protection hidden="1"/>
    </xf>
    <xf numFmtId="14" fontId="2" fillId="0" borderId="0" xfId="0" applyNumberFormat="1" applyFont="1" applyProtection="1">
      <protection hidden="1"/>
    </xf>
    <xf numFmtId="165" fontId="2" fillId="0" borderId="4" xfId="2" applyNumberFormat="1" applyFont="1" applyBorder="1" applyAlignment="1" applyProtection="1">
      <alignment horizontal="center"/>
      <protection hidden="1"/>
    </xf>
    <xf numFmtId="165" fontId="2" fillId="0" borderId="0" xfId="2" applyNumberFormat="1" applyFont="1" applyBorder="1" applyAlignment="1" applyProtection="1">
      <alignment horizontal="center"/>
      <protection hidden="1"/>
    </xf>
    <xf numFmtId="3" fontId="2" fillId="0" borderId="4" xfId="0" applyNumberFormat="1" applyFont="1" applyBorder="1" applyAlignment="1" applyProtection="1">
      <alignment horizontal="left"/>
      <protection hidden="1"/>
    </xf>
    <xf numFmtId="166" fontId="19" fillId="0" borderId="0" xfId="0" applyNumberFormat="1" applyFont="1" applyBorder="1" applyAlignment="1" applyProtection="1">
      <alignment horizontal="right"/>
      <protection hidden="1"/>
    </xf>
    <xf numFmtId="168" fontId="2" fillId="0" borderId="4" xfId="2" applyNumberFormat="1" applyFont="1" applyBorder="1" applyAlignment="1" applyProtection="1">
      <alignment horizontal="center"/>
      <protection hidden="1"/>
    </xf>
    <xf numFmtId="167" fontId="2" fillId="0" borderId="0" xfId="2" applyNumberFormat="1" applyFont="1" applyBorder="1" applyAlignment="1" applyProtection="1">
      <alignment horizontal="center"/>
      <protection hidden="1"/>
    </xf>
    <xf numFmtId="0" fontId="19" fillId="0" borderId="0" xfId="0" applyFont="1" applyBorder="1" applyProtection="1">
      <protection hidden="1"/>
    </xf>
    <xf numFmtId="9" fontId="2" fillId="0" borderId="4" xfId="2" applyFont="1" applyBorder="1" applyAlignment="1" applyProtection="1">
      <alignment horizontal="center"/>
      <protection hidden="1"/>
    </xf>
    <xf numFmtId="9" fontId="2" fillId="0" borderId="0" xfId="2" applyFont="1" applyBorder="1" applyAlignment="1" applyProtection="1">
      <alignment horizontal="center"/>
      <protection hidden="1"/>
    </xf>
    <xf numFmtId="4" fontId="2" fillId="0" borderId="0" xfId="0" applyNumberFormat="1" applyFont="1" applyBorder="1" applyAlignment="1" applyProtection="1">
      <alignment horizontal="left"/>
      <protection hidden="1"/>
    </xf>
    <xf numFmtId="0" fontId="2" fillId="0" borderId="0" xfId="0" applyFont="1" applyBorder="1" applyAlignment="1" applyProtection="1">
      <alignment horizontal="center" vertical="top" wrapText="1"/>
      <protection hidden="1"/>
    </xf>
    <xf numFmtId="0" fontId="6" fillId="0" borderId="5" xfId="0" applyFont="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5" xfId="0" applyFont="1" applyBorder="1" applyAlignment="1" applyProtection="1">
      <alignment horizontal="center" vertical="top" wrapText="1"/>
      <protection hidden="1"/>
    </xf>
    <xf numFmtId="0" fontId="2" fillId="0" borderId="5" xfId="0" applyFont="1" applyBorder="1" applyAlignment="1" applyProtection="1">
      <alignment horizontal="center" vertical="center" wrapText="1"/>
      <protection hidden="1"/>
    </xf>
    <xf numFmtId="49" fontId="2"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6" xfId="0" applyFont="1" applyBorder="1" applyAlignment="1" applyProtection="1">
      <alignment horizontal="center" vertical="top" wrapText="1"/>
      <protection hidden="1"/>
    </xf>
    <xf numFmtId="49" fontId="2" fillId="0" borderId="2" xfId="0" applyNumberFormat="1" applyFont="1" applyBorder="1" applyAlignment="1" applyProtection="1">
      <alignment horizontal="center"/>
      <protection hidden="1"/>
    </xf>
    <xf numFmtId="49" fontId="19" fillId="0" borderId="2" xfId="0" applyNumberFormat="1" applyFont="1" applyBorder="1" applyAlignment="1" applyProtection="1">
      <alignment horizontal="center"/>
      <protection hidden="1"/>
    </xf>
    <xf numFmtId="49" fontId="2" fillId="0" borderId="3" xfId="0" applyNumberFormat="1" applyFont="1" applyBorder="1" applyAlignment="1" applyProtection="1">
      <alignment horizontal="center"/>
      <protection hidden="1"/>
    </xf>
    <xf numFmtId="49" fontId="19" fillId="0" borderId="3" xfId="0" applyNumberFormat="1" applyFont="1" applyBorder="1" applyAlignment="1" applyProtection="1">
      <alignment horizontal="center"/>
      <protection hidden="1"/>
    </xf>
    <xf numFmtId="0" fontId="2" fillId="0" borderId="1" xfId="0"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4" fontId="2" fillId="0" borderId="1" xfId="0" applyNumberFormat="1" applyFont="1" applyBorder="1" applyAlignment="1" applyProtection="1">
      <alignment horizontal="center" vertical="center"/>
      <protection hidden="1"/>
    </xf>
    <xf numFmtId="4" fontId="2" fillId="0" borderId="1" xfId="0" applyNumberFormat="1" applyFont="1" applyFill="1" applyBorder="1" applyAlignment="1" applyProtection="1">
      <alignment horizontal="center" vertical="center"/>
      <protection hidden="1"/>
    </xf>
    <xf numFmtId="10" fontId="2" fillId="0" borderId="1" xfId="2" applyNumberFormat="1" applyFont="1" applyFill="1" applyBorder="1" applyAlignment="1" applyProtection="1">
      <alignment horizontal="center"/>
      <protection hidden="1"/>
    </xf>
    <xf numFmtId="4" fontId="2"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2" fillId="0" borderId="0" xfId="0" applyFont="1" applyAlignment="1" applyProtection="1">
      <alignment vertical="center"/>
      <protection hidden="1"/>
    </xf>
    <xf numFmtId="0" fontId="19" fillId="0" borderId="0" xfId="0" applyFont="1" applyAlignment="1" applyProtection="1">
      <alignment vertical="center"/>
      <protection hidden="1"/>
    </xf>
    <xf numFmtId="14" fontId="2" fillId="0" borderId="1" xfId="0" applyNumberFormat="1" applyFont="1" applyBorder="1" applyAlignment="1" applyProtection="1">
      <alignment horizontal="center"/>
      <protection hidden="1"/>
    </xf>
    <xf numFmtId="2" fontId="2" fillId="0" borderId="1" xfId="0" applyNumberFormat="1" applyFont="1" applyFill="1" applyBorder="1" applyAlignment="1" applyProtection="1">
      <alignment horizontal="center"/>
      <protection hidden="1"/>
    </xf>
    <xf numFmtId="4" fontId="8" fillId="0" borderId="1" xfId="0" applyNumberFormat="1" applyFont="1" applyBorder="1" applyAlignment="1" applyProtection="1">
      <alignment horizontal="center" vertical="center"/>
      <protection hidden="1"/>
    </xf>
    <xf numFmtId="10" fontId="2" fillId="0" borderId="1" xfId="2" applyNumberFormat="1" applyFont="1" applyBorder="1" applyAlignment="1" applyProtection="1">
      <alignment horizontal="center"/>
      <protection hidden="1"/>
    </xf>
    <xf numFmtId="4" fontId="2" fillId="0" borderId="1" xfId="0" applyNumberFormat="1" applyFont="1" applyBorder="1" applyAlignment="1" applyProtection="1">
      <alignment horizontal="center"/>
      <protection hidden="1"/>
    </xf>
    <xf numFmtId="4" fontId="2" fillId="0" borderId="0" xfId="0" applyNumberFormat="1" applyFont="1" applyProtection="1">
      <protection hidden="1"/>
    </xf>
    <xf numFmtId="4" fontId="6" fillId="0" borderId="0" xfId="0" applyNumberFormat="1" applyFont="1" applyProtection="1">
      <protection hidden="1"/>
    </xf>
    <xf numFmtId="4" fontId="8" fillId="0" borderId="1" xfId="0" applyNumberFormat="1" applyFont="1" applyFill="1" applyBorder="1" applyAlignment="1" applyProtection="1">
      <alignment horizontal="center" vertical="center"/>
      <protection hidden="1"/>
    </xf>
    <xf numFmtId="14" fontId="8" fillId="0" borderId="1" xfId="0" applyNumberFormat="1" applyFont="1" applyFill="1" applyBorder="1" applyAlignment="1" applyProtection="1">
      <alignment horizontal="center" vertical="center"/>
      <protection hidden="1"/>
    </xf>
    <xf numFmtId="2" fontId="8" fillId="0" borderId="1" xfId="0" applyNumberFormat="1" applyFont="1" applyFill="1" applyBorder="1" applyAlignment="1" applyProtection="1">
      <alignment horizontal="center"/>
      <protection hidden="1"/>
    </xf>
    <xf numFmtId="4" fontId="8" fillId="0" borderId="0" xfId="0" applyNumberFormat="1" applyFont="1" applyFill="1" applyProtection="1">
      <protection hidden="1"/>
    </xf>
    <xf numFmtId="0" fontId="14" fillId="0" borderId="0" xfId="0" applyFont="1" applyFill="1" applyProtection="1">
      <protection hidden="1"/>
    </xf>
    <xf numFmtId="0" fontId="8" fillId="0" borderId="0" xfId="0" applyFont="1" applyFill="1" applyProtection="1">
      <protection hidden="1"/>
    </xf>
    <xf numFmtId="0" fontId="21" fillId="0" borderId="0" xfId="0" applyFont="1" applyFill="1" applyProtection="1">
      <protection hidden="1"/>
    </xf>
    <xf numFmtId="0" fontId="4" fillId="0" borderId="0" xfId="0" applyFont="1" applyProtection="1">
      <protection hidden="1"/>
    </xf>
    <xf numFmtId="4" fontId="2" fillId="0" borderId="0" xfId="0" applyNumberFormat="1" applyFont="1" applyAlignment="1" applyProtection="1">
      <alignment horizontal="left"/>
      <protection hidden="1"/>
    </xf>
    <xf numFmtId="0" fontId="4" fillId="0" borderId="0" xfId="0" applyFont="1" applyAlignment="1" applyProtection="1">
      <alignment horizontal="left"/>
      <protection hidden="1"/>
    </xf>
    <xf numFmtId="0" fontId="10" fillId="2" borderId="4" xfId="1" applyFont="1" applyFill="1" applyBorder="1" applyAlignment="1" applyProtection="1">
      <alignment horizontal="left" vertical="center" wrapText="1"/>
      <protection hidden="1"/>
    </xf>
    <xf numFmtId="0" fontId="10" fillId="2" borderId="14" xfId="1" applyFont="1" applyFill="1" applyBorder="1" applyAlignment="1" applyProtection="1">
      <alignment horizontal="left" vertical="center" wrapText="1"/>
      <protection hidden="1"/>
    </xf>
    <xf numFmtId="0" fontId="11" fillId="2" borderId="4" xfId="0" applyFont="1" applyFill="1" applyBorder="1" applyAlignment="1" applyProtection="1">
      <alignment horizontal="left"/>
      <protection hidden="1"/>
    </xf>
    <xf numFmtId="49" fontId="2" fillId="0" borderId="2" xfId="0" applyNumberFormat="1" applyFont="1" applyBorder="1" applyAlignment="1" applyProtection="1">
      <alignment horizontal="center" vertical="center"/>
      <protection hidden="1"/>
    </xf>
    <xf numFmtId="49" fontId="2" fillId="0" borderId="3" xfId="0" applyNumberFormat="1" applyFont="1" applyBorder="1" applyAlignment="1" applyProtection="1">
      <alignment horizontal="center" vertical="center"/>
      <protection hidden="1"/>
    </xf>
    <xf numFmtId="49" fontId="2" fillId="0" borderId="2" xfId="0" applyNumberFormat="1" applyFont="1" applyFill="1" applyBorder="1" applyAlignment="1" applyProtection="1">
      <alignment horizontal="center" vertical="center"/>
      <protection hidden="1"/>
    </xf>
    <xf numFmtId="49" fontId="2" fillId="0" borderId="3" xfId="0" applyNumberFormat="1" applyFont="1" applyFill="1" applyBorder="1" applyAlignment="1" applyProtection="1">
      <alignment horizontal="center" vertical="center"/>
      <protection hidden="1"/>
    </xf>
    <xf numFmtId="49" fontId="2" fillId="0" borderId="11" xfId="0" applyNumberFormat="1" applyFont="1" applyBorder="1" applyAlignment="1" applyProtection="1">
      <alignment horizontal="center" vertical="center"/>
      <protection hidden="1"/>
    </xf>
    <xf numFmtId="49" fontId="2" fillId="0" borderId="12" xfId="0" applyNumberFormat="1" applyFont="1" applyBorder="1" applyAlignment="1" applyProtection="1">
      <alignment horizontal="center" vertical="center"/>
      <protection hidden="1"/>
    </xf>
    <xf numFmtId="0" fontId="2" fillId="0" borderId="2" xfId="0" applyFont="1" applyFill="1" applyBorder="1" applyAlignment="1" applyProtection="1">
      <alignment horizontal="center" vertical="top" wrapText="1"/>
      <protection hidden="1"/>
    </xf>
    <xf numFmtId="0" fontId="2" fillId="0" borderId="8" xfId="0" applyFont="1" applyFill="1" applyBorder="1" applyAlignment="1" applyProtection="1">
      <alignment horizontal="center" vertical="top" wrapText="1"/>
      <protection hidden="1"/>
    </xf>
    <xf numFmtId="0" fontId="2" fillId="0" borderId="3" xfId="0" applyFont="1" applyFill="1" applyBorder="1" applyAlignment="1" applyProtection="1">
      <alignment horizontal="center" vertical="top" wrapText="1"/>
      <protection hidden="1"/>
    </xf>
    <xf numFmtId="0" fontId="2" fillId="0" borderId="6"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2" xfId="0"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3" xfId="0" applyFont="1" applyBorder="1" applyAlignment="1" applyProtection="1">
      <alignment horizontal="center" vertical="top" wrapText="1"/>
      <protection hidden="1"/>
    </xf>
    <xf numFmtId="0" fontId="18" fillId="0" borderId="0" xfId="0" applyFont="1" applyAlignment="1" applyProtection="1">
      <alignment horizontal="left"/>
      <protection hidden="1"/>
    </xf>
    <xf numFmtId="0" fontId="9" fillId="0" borderId="0" xfId="0" applyFont="1" applyAlignment="1" applyProtection="1">
      <alignment horizontal="left"/>
      <protection hidden="1"/>
    </xf>
    <xf numFmtId="0" fontId="2" fillId="0" borderId="0" xfId="0" applyFont="1" applyAlignment="1" applyProtection="1">
      <alignment horizontal="left"/>
      <protection hidden="1"/>
    </xf>
    <xf numFmtId="0" fontId="23" fillId="0" borderId="2" xfId="0" applyFont="1" applyBorder="1" applyAlignment="1" applyProtection="1">
      <alignment horizontal="center" vertical="top" wrapText="1"/>
      <protection hidden="1"/>
    </xf>
    <xf numFmtId="0" fontId="23" fillId="0" borderId="8" xfId="0" applyFont="1" applyBorder="1" applyAlignment="1" applyProtection="1">
      <alignment horizontal="center" vertical="top" wrapText="1"/>
      <protection hidden="1"/>
    </xf>
    <xf numFmtId="0" fontId="23" fillId="0" borderId="3" xfId="0" applyFont="1" applyBorder="1" applyAlignment="1" applyProtection="1">
      <alignment horizontal="center" vertical="top" wrapText="1"/>
      <protection hidden="1"/>
    </xf>
    <xf numFmtId="0" fontId="2" fillId="0" borderId="2"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2" fillId="0" borderId="0" xfId="0" applyFont="1" applyAlignment="1" applyProtection="1">
      <alignment horizontal="left" vertical="top" wrapText="1"/>
      <protection hidden="1"/>
    </xf>
    <xf numFmtId="0" fontId="5" fillId="0" borderId="0" xfId="0" applyFont="1" applyAlignment="1" applyProtection="1">
      <alignment horizontal="left" vertical="center"/>
      <protection hidden="1"/>
    </xf>
    <xf numFmtId="0" fontId="7" fillId="0" borderId="0" xfId="0" applyFont="1" applyBorder="1" applyAlignment="1" applyProtection="1">
      <alignment horizontal="center" wrapText="1"/>
      <protection hidden="1"/>
    </xf>
    <xf numFmtId="0" fontId="28" fillId="0" borderId="0" xfId="0" applyFont="1" applyAlignment="1" applyProtection="1">
      <alignment horizontal="center"/>
      <protection hidden="1"/>
    </xf>
    <xf numFmtId="0" fontId="16" fillId="0" borderId="0" xfId="0" applyFont="1" applyAlignment="1" applyProtection="1">
      <alignment horizontal="left"/>
      <protection hidden="1"/>
    </xf>
    <xf numFmtId="0" fontId="6" fillId="0" borderId="6"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6" fillId="0" borderId="19" xfId="0" applyFont="1" applyBorder="1" applyAlignment="1" applyProtection="1">
      <alignment horizontal="left" wrapText="1"/>
      <protection hidden="1"/>
    </xf>
    <xf numFmtId="0" fontId="26" fillId="0" borderId="20" xfId="0" applyFont="1" applyBorder="1" applyAlignment="1" applyProtection="1">
      <alignment horizontal="left" wrapText="1"/>
      <protection hidden="1"/>
    </xf>
    <xf numFmtId="0" fontId="26" fillId="0" borderId="0" xfId="0" applyFont="1" applyAlignment="1" applyProtection="1">
      <alignment horizontal="left" vertical="top" wrapText="1"/>
      <protection hidden="1"/>
    </xf>
    <xf numFmtId="0" fontId="26" fillId="0" borderId="9" xfId="0" applyFont="1" applyBorder="1" applyAlignment="1" applyProtection="1">
      <alignment horizontal="left" vertical="top" wrapText="1"/>
      <protection hidden="1"/>
    </xf>
    <xf numFmtId="0" fontId="26" fillId="0" borderId="20" xfId="0" applyFont="1" applyBorder="1" applyAlignment="1" applyProtection="1">
      <alignment horizontal="center" vertical="top" wrapText="1"/>
      <protection hidden="1"/>
    </xf>
    <xf numFmtId="0" fontId="26" fillId="0" borderId="7" xfId="0" applyFont="1" applyBorder="1" applyAlignment="1" applyProtection="1">
      <alignment horizontal="center" vertical="top" wrapText="1"/>
      <protection hidden="1"/>
    </xf>
    <xf numFmtId="0" fontId="2" fillId="0" borderId="0" xfId="0" applyFont="1" applyAlignment="1" applyProtection="1">
      <alignment wrapText="1"/>
      <protection hidden="1"/>
    </xf>
    <xf numFmtId="0" fontId="2" fillId="0" borderId="9" xfId="0" applyFont="1" applyBorder="1" applyAlignment="1" applyProtection="1">
      <alignment wrapText="1"/>
      <protection hidden="1"/>
    </xf>
  </cellXfs>
  <cellStyles count="5">
    <cellStyle name="Обычный" xfId="0" builtinId="0"/>
    <cellStyle name="Обычный 2" xfId="1"/>
    <cellStyle name="Процентный" xfId="2" builtinId="5"/>
    <cellStyle name="Процентный 2"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D$2" fmlaRange="$D$3:$D$3" noThreeD="1" sel="1" val="0"/>
</file>

<file path=xl/ctrlProps/ctrlProp2.xml><?xml version="1.0" encoding="utf-8"?>
<formControlPr xmlns="http://schemas.microsoft.com/office/spreadsheetml/2009/9/main" objectType="Drop" dropLines="3" dropStyle="combo" dx="22" fmlaLink="$B$2:$B$5" fmlaRange="$B$5:$B$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1</xdr:row>
      <xdr:rowOff>171450</xdr:rowOff>
    </xdr:from>
    <xdr:to>
      <xdr:col>4</xdr:col>
      <xdr:colOff>190500</xdr:colOff>
      <xdr:row>6</xdr:row>
      <xdr:rowOff>9525</xdr:rowOff>
    </xdr:to>
    <xdr:pic>
      <xdr:nvPicPr>
        <xdr:cNvPr id="14946"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666750"/>
          <a:ext cx="2819400"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9525</xdr:rowOff>
        </xdr:from>
        <xdr:to>
          <xdr:col>5</xdr:col>
          <xdr:colOff>723900</xdr:colOff>
          <xdr:row>15</xdr:row>
          <xdr:rowOff>57150</xdr:rowOff>
        </xdr:to>
        <xdr:sp macro="" textlink="">
          <xdr:nvSpPr>
            <xdr:cNvPr id="3081" name="Drop Down 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6</xdr:col>
          <xdr:colOff>628650</xdr:colOff>
          <xdr:row>12</xdr:row>
          <xdr:rowOff>66675</xdr:rowOff>
        </xdr:to>
        <xdr:sp macro="" textlink="">
          <xdr:nvSpPr>
            <xdr:cNvPr id="3082" name="Drop Down 10"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Z59"/>
  <sheetViews>
    <sheetView showGridLines="0" tabSelected="1" topLeftCell="A3" zoomScaleNormal="100" zoomScaleSheetLayoutView="97" workbookViewId="0">
      <selection activeCell="G10" sqref="G10"/>
    </sheetView>
  </sheetViews>
  <sheetFormatPr defaultRowHeight="11.25" x14ac:dyDescent="0.2"/>
  <cols>
    <col min="1" max="1" width="9.140625" style="22"/>
    <col min="2" max="3" width="12.28515625" style="22" customWidth="1"/>
    <col min="4" max="4" width="14.28515625" style="22" customWidth="1"/>
    <col min="5" max="5" width="12.140625" style="22" customWidth="1"/>
    <col min="6" max="6" width="11.85546875" style="31" customWidth="1"/>
    <col min="7" max="7" width="15.85546875" style="31" customWidth="1"/>
    <col min="8" max="8" width="11.5703125" style="31" customWidth="1"/>
    <col min="9" max="9" width="15" style="31" customWidth="1"/>
    <col min="10" max="10" width="19.28515625" style="22" customWidth="1"/>
    <col min="11" max="11" width="14.7109375" style="22" customWidth="1"/>
    <col min="12" max="12" width="16.42578125" style="22" customWidth="1"/>
    <col min="13" max="13" width="10.85546875" style="22" customWidth="1"/>
    <col min="14" max="14" width="11" style="22" customWidth="1"/>
    <col min="15" max="15" width="12" style="22" customWidth="1"/>
    <col min="16" max="16" width="11.7109375" style="22" customWidth="1"/>
    <col min="17" max="17" width="15.5703125" style="22" customWidth="1"/>
    <col min="18" max="18" width="20.5703125" style="24" customWidth="1"/>
    <col min="19" max="19" width="6.28515625" style="22" hidden="1" customWidth="1"/>
    <col min="20" max="20" width="9.28515625" style="22" customWidth="1"/>
    <col min="21" max="21" width="9.28515625" style="23" customWidth="1"/>
    <col min="22" max="22" width="9.28515625" style="22" customWidth="1"/>
    <col min="23" max="24" width="9.140625" style="22" customWidth="1"/>
    <col min="25" max="26" width="9.140625" style="24" customWidth="1"/>
    <col min="27" max="16384" width="9.140625" style="22"/>
  </cols>
  <sheetData>
    <row r="1" spans="2:26" s="23" customFormat="1" ht="39" hidden="1" customHeight="1" x14ac:dyDescent="0.2">
      <c r="B1" s="131"/>
      <c r="C1" s="131"/>
      <c r="D1" s="131"/>
      <c r="E1" s="131"/>
      <c r="F1" s="131"/>
      <c r="G1" s="131"/>
      <c r="H1" s="131"/>
      <c r="I1" s="131"/>
      <c r="J1" s="131"/>
      <c r="K1" s="131"/>
      <c r="L1" s="131"/>
      <c r="M1" s="131"/>
      <c r="N1" s="131"/>
      <c r="O1" s="131"/>
      <c r="P1" s="131"/>
      <c r="Q1" s="128"/>
      <c r="R1" s="128"/>
      <c r="S1" s="128"/>
      <c r="T1" s="22"/>
      <c r="V1" s="22"/>
      <c r="W1" s="22"/>
      <c r="X1" s="22"/>
      <c r="Y1" s="24"/>
      <c r="Z1" s="24"/>
    </row>
    <row r="2" spans="2:26" s="23" customFormat="1" ht="16.5" hidden="1" customHeight="1" x14ac:dyDescent="0.25">
      <c r="B2" s="23">
        <v>1</v>
      </c>
      <c r="D2" s="23">
        <v>1</v>
      </c>
      <c r="E2" s="23">
        <v>2</v>
      </c>
      <c r="F2" s="25">
        <v>1</v>
      </c>
      <c r="G2" s="25"/>
      <c r="H2" s="25"/>
      <c r="I2" s="25">
        <v>2</v>
      </c>
      <c r="J2" s="23">
        <v>1</v>
      </c>
      <c r="O2" s="26"/>
      <c r="P2" s="26"/>
      <c r="R2" s="27"/>
      <c r="S2" s="22"/>
      <c r="T2" s="22"/>
      <c r="V2" s="22"/>
      <c r="W2" s="22"/>
      <c r="X2" s="22"/>
      <c r="Y2" s="24"/>
      <c r="Z2" s="24"/>
    </row>
    <row r="3" spans="2:26" s="23" customFormat="1" ht="22.5" customHeight="1" x14ac:dyDescent="0.25">
      <c r="B3" s="23" t="str">
        <f>"Домовичок"</f>
        <v>Домовичок</v>
      </c>
      <c r="D3" s="23" t="str">
        <f>"гривня"</f>
        <v>гривня</v>
      </c>
      <c r="E3" s="23" t="str">
        <f>"Торговий POS-термінал"</f>
        <v>Торговий POS-термінал</v>
      </c>
      <c r="F3" s="135" t="s">
        <v>57</v>
      </c>
      <c r="G3" s="135"/>
      <c r="H3" s="135"/>
      <c r="I3" s="135"/>
      <c r="J3" s="135"/>
      <c r="K3" s="135"/>
      <c r="L3" s="135"/>
      <c r="M3" s="135"/>
      <c r="R3" s="27"/>
      <c r="S3" s="22"/>
      <c r="T3" s="22"/>
      <c r="V3" s="22"/>
      <c r="W3" s="22"/>
      <c r="X3" s="22"/>
      <c r="Y3" s="24"/>
      <c r="Z3" s="24"/>
    </row>
    <row r="4" spans="2:26" s="23" customFormat="1" ht="10.5" customHeight="1" x14ac:dyDescent="0.25">
      <c r="B4" s="23" t="s">
        <v>40</v>
      </c>
      <c r="D4" s="23" t="str">
        <f>IF($B$2=3,"долар США","---")</f>
        <v>---</v>
      </c>
      <c r="E4" s="23" t="str">
        <f>"Банкомат АБ «Укргазбанк»"</f>
        <v>Банкомат АБ «Укргазбанк»</v>
      </c>
      <c r="F4" s="135"/>
      <c r="G4" s="135"/>
      <c r="H4" s="135"/>
      <c r="I4" s="135"/>
      <c r="J4" s="135"/>
      <c r="K4" s="135"/>
      <c r="L4" s="135"/>
      <c r="M4" s="135"/>
      <c r="O4" s="28"/>
      <c r="P4" s="26"/>
      <c r="R4" s="24"/>
      <c r="S4" s="22"/>
      <c r="T4" s="22"/>
      <c r="V4" s="22"/>
      <c r="W4" s="22"/>
      <c r="X4" s="22"/>
      <c r="Y4" s="24"/>
      <c r="Z4" s="24"/>
    </row>
    <row r="5" spans="2:26" s="23" customFormat="1" x14ac:dyDescent="0.2">
      <c r="B5" s="23" t="s">
        <v>47</v>
      </c>
      <c r="D5" s="23" t="str">
        <f>IF($B$2=3,"євро","---")</f>
        <v>---</v>
      </c>
      <c r="F5" s="135"/>
      <c r="G5" s="135"/>
      <c r="H5" s="135"/>
      <c r="I5" s="135"/>
      <c r="J5" s="135"/>
      <c r="K5" s="135"/>
      <c r="L5" s="135"/>
      <c r="M5" s="135"/>
      <c r="O5" s="117"/>
      <c r="P5" s="117"/>
      <c r="Q5" s="117"/>
      <c r="R5" s="117"/>
      <c r="S5" s="22"/>
      <c r="T5" s="22"/>
      <c r="V5" s="22"/>
      <c r="W5" s="22"/>
      <c r="X5" s="22"/>
      <c r="Y5" s="24"/>
      <c r="Z5" s="24"/>
    </row>
    <row r="6" spans="2:26" s="23" customFormat="1" x14ac:dyDescent="0.2">
      <c r="B6" s="23" t="str">
        <f>"Овердрафт «Кредитна картка»"</f>
        <v>Овердрафт «Кредитна картка»</v>
      </c>
      <c r="F6" s="135"/>
      <c r="G6" s="135"/>
      <c r="H6" s="135"/>
      <c r="I6" s="135"/>
      <c r="J6" s="135"/>
      <c r="K6" s="135"/>
      <c r="L6" s="135"/>
      <c r="M6" s="135"/>
      <c r="O6" s="117"/>
      <c r="P6" s="117"/>
      <c r="Q6" s="117"/>
      <c r="R6" s="117"/>
      <c r="S6" s="22"/>
      <c r="T6" s="22"/>
      <c r="V6" s="22"/>
      <c r="W6" s="22"/>
      <c r="X6" s="22"/>
      <c r="Y6" s="24"/>
      <c r="Z6" s="24"/>
    </row>
    <row r="7" spans="2:26" s="23" customFormat="1" ht="19.5" customHeight="1" x14ac:dyDescent="0.25">
      <c r="B7" s="23" t="str">
        <f>"Програма новий клієнт"</f>
        <v>Програма новий клієнт</v>
      </c>
      <c r="F7" s="135"/>
      <c r="G7" s="135"/>
      <c r="H7" s="135"/>
      <c r="I7" s="135"/>
      <c r="J7" s="135"/>
      <c r="K7" s="135"/>
      <c r="L7" s="135"/>
      <c r="M7" s="135"/>
      <c r="O7" s="132"/>
      <c r="P7" s="132"/>
      <c r="Q7" s="29"/>
      <c r="R7" s="24"/>
      <c r="S7" s="22"/>
      <c r="T7" s="22"/>
      <c r="V7" s="22"/>
      <c r="W7" s="22"/>
      <c r="X7" s="22"/>
      <c r="Y7" s="24"/>
      <c r="Z7" s="24"/>
    </row>
    <row r="8" spans="2:26" s="23" customFormat="1" ht="6" customHeight="1" x14ac:dyDescent="0.25">
      <c r="B8" s="23" t="str">
        <f>"Овердрафт під депозит"</f>
        <v>Овердрафт під депозит</v>
      </c>
      <c r="F8" s="25"/>
      <c r="G8" s="25"/>
      <c r="H8" s="25"/>
      <c r="I8" s="25"/>
      <c r="O8" s="132"/>
      <c r="P8" s="132"/>
      <c r="Q8" s="29"/>
      <c r="R8" s="24"/>
      <c r="S8" s="22"/>
      <c r="T8" s="22"/>
      <c r="V8" s="22"/>
      <c r="W8" s="22"/>
      <c r="X8" s="22"/>
      <c r="Y8" s="24"/>
      <c r="Z8" s="24"/>
    </row>
    <row r="9" spans="2:26" s="23" customFormat="1" ht="6" customHeight="1" x14ac:dyDescent="0.25">
      <c r="B9" s="23" t="str">
        <f>"Овердрафт «Додаткова пенсія»"</f>
        <v>Овердрафт «Додаткова пенсія»</v>
      </c>
      <c r="F9" s="25"/>
      <c r="G9" s="25"/>
      <c r="H9" s="25"/>
      <c r="I9" s="25"/>
      <c r="O9" s="132"/>
      <c r="P9" s="132"/>
      <c r="Q9" s="29"/>
      <c r="R9" s="24"/>
      <c r="S9" s="22"/>
      <c r="T9" s="22"/>
      <c r="V9" s="22"/>
      <c r="W9" s="22"/>
      <c r="X9" s="22"/>
      <c r="Y9" s="24"/>
      <c r="Z9" s="24"/>
    </row>
    <row r="10" spans="2:26" x14ac:dyDescent="0.2">
      <c r="B10" s="30" t="str">
        <f>"Параметри кредитної програми"</f>
        <v>Параметри кредитної програми</v>
      </c>
      <c r="C10" s="30"/>
      <c r="K10" s="32"/>
      <c r="L10" s="32"/>
      <c r="M10" s="32"/>
      <c r="N10" s="32"/>
      <c r="R10" s="23" t="str">
        <f ca="1">"Курс НБУ на " &amp; TEXT(NOW(),"ДД.ММ.ГГГГ") &amp; " р."</f>
        <v>Курс НБУ на ДД.ММ.ГГГГ р.</v>
      </c>
    </row>
    <row r="11" spans="2:26" ht="3.75" customHeight="1" x14ac:dyDescent="0.2">
      <c r="K11" s="32"/>
      <c r="L11" s="32"/>
      <c r="M11" s="32"/>
      <c r="N11" s="32"/>
      <c r="R11" s="23"/>
    </row>
    <row r="12" spans="2:26" ht="12.75" customHeight="1" x14ac:dyDescent="0.2">
      <c r="B12" s="22" t="str">
        <f>"Програма кредитування:"</f>
        <v>Програма кредитування:</v>
      </c>
      <c r="J12" s="118" t="str">
        <f>"Початкова сума ліміту овердрафту"</f>
        <v>Початкова сума ліміту овердрафту</v>
      </c>
      <c r="K12" s="118"/>
      <c r="L12" s="118"/>
      <c r="N12" s="33"/>
      <c r="O12" s="2">
        <v>10000</v>
      </c>
      <c r="P12" s="22" t="str">
        <f>IF($D$2=2, "доларів США", IF($D$2=3, "євро", "грн"))</f>
        <v>грн</v>
      </c>
      <c r="R12" s="34"/>
      <c r="U12" s="35">
        <v>0.39</v>
      </c>
    </row>
    <row r="13" spans="2:26" ht="32.25" customHeight="1" x14ac:dyDescent="0.2">
      <c r="J13" s="119" t="str">
        <f>"Максимальний за продуктом ліміт овердрафту"</f>
        <v>Максимальний за продуктом ліміт овердрафту</v>
      </c>
      <c r="K13" s="119"/>
      <c r="L13" s="119"/>
      <c r="N13" s="36"/>
      <c r="O13" s="37">
        <v>300000</v>
      </c>
      <c r="R13" s="38"/>
      <c r="U13" s="35"/>
    </row>
    <row r="14" spans="2:26" ht="12.75" customHeight="1" x14ac:dyDescent="0.2">
      <c r="B14" s="22" t="str">
        <f>"Валюта овердрафту:"</f>
        <v>Валюта овердрафту:</v>
      </c>
      <c r="J14" s="119" t="str">
        <f>"Дата кредитного договору:"</f>
        <v>Дата кредитного договору:</v>
      </c>
      <c r="K14" s="119"/>
      <c r="L14" s="119"/>
      <c r="N14" s="36"/>
      <c r="O14" s="1">
        <f ca="1">TODAY()</f>
        <v>44438</v>
      </c>
      <c r="R14" s="34"/>
      <c r="U14" s="39">
        <v>300000</v>
      </c>
    </row>
    <row r="15" spans="2:26" ht="1.5" customHeight="1" x14ac:dyDescent="0.2">
      <c r="J15" s="31"/>
      <c r="K15" s="36"/>
      <c r="L15" s="36"/>
      <c r="M15" s="36"/>
      <c r="N15" s="36"/>
      <c r="O15" s="40"/>
      <c r="R15" s="38"/>
      <c r="U15" s="39">
        <v>500000</v>
      </c>
    </row>
    <row r="16" spans="2:26" ht="43.5" customHeight="1" x14ac:dyDescent="0.2">
      <c r="B16" s="41"/>
      <c r="C16" s="41"/>
      <c r="D16" s="41"/>
      <c r="E16" s="41"/>
      <c r="F16" s="42"/>
      <c r="G16" s="42"/>
      <c r="H16" s="42"/>
      <c r="J16" s="119" t="str">
        <f>"Дата завершення овердрафту:"</f>
        <v>Дата завершення овердрафту:</v>
      </c>
      <c r="K16" s="119"/>
      <c r="L16" s="119"/>
      <c r="N16" s="36"/>
      <c r="O16" s="1">
        <f ca="1">IF(DAY($O$14)&gt;25,DATE(YEAR($O$14)+1,MONTH($O$14),DAY(25)),IF(DAY($O$14)=1,DATE(YEAR($O$14)+1,MONTH($O$14-1),DAY(25)),DATE(YEAR($O$14)+1,MONTH($O$14),DAY($O$14)-1)))</f>
        <v>44798</v>
      </c>
      <c r="P16" s="43" t="str">
        <f ca="1">IF($O$16&lt;=$O$14,"Невідповідність дат","")</f>
        <v/>
      </c>
      <c r="Q16" s="44"/>
      <c r="R16" s="38" t="str">
        <f ca="1">"Комерційний курс на " &amp; TEXT(NOW(),"ДД.ММ.ГГГГ") &amp; " р."</f>
        <v>Комерційний курс на ДД.ММ.ГГГГ р.</v>
      </c>
      <c r="U16" s="39"/>
    </row>
    <row r="17" spans="1:20" ht="3.75" customHeight="1" x14ac:dyDescent="0.2">
      <c r="J17" s="31"/>
      <c r="K17" s="36"/>
      <c r="L17" s="36"/>
      <c r="M17" s="36"/>
      <c r="N17" s="36"/>
      <c r="O17" s="40"/>
      <c r="R17" s="38"/>
    </row>
    <row r="18" spans="1:20" ht="19.899999999999999" customHeight="1" x14ac:dyDescent="0.2">
      <c r="B18" s="142" t="s">
        <v>4</v>
      </c>
      <c r="C18" s="142"/>
      <c r="D18" s="142"/>
      <c r="E18" s="143"/>
      <c r="F18" s="45">
        <v>0</v>
      </c>
      <c r="G18" s="46"/>
      <c r="H18" s="46"/>
      <c r="J18" s="129" t="s">
        <v>3</v>
      </c>
      <c r="K18" s="129"/>
      <c r="L18" s="129"/>
      <c r="N18" s="47"/>
      <c r="O18" s="48">
        <v>12</v>
      </c>
      <c r="P18" s="49">
        <f ca="1">IF(DAY($O$14)=1,23,24)</f>
        <v>24</v>
      </c>
      <c r="Q18" s="50"/>
      <c r="R18" s="38"/>
    </row>
    <row r="19" spans="1:20" ht="12.75" customHeight="1" x14ac:dyDescent="0.2">
      <c r="B19" s="22" t="str">
        <f>"Процента ставка за кредитом"</f>
        <v>Процента ставка за кредитом</v>
      </c>
      <c r="F19" s="51">
        <v>0.39</v>
      </c>
      <c r="G19" s="52"/>
      <c r="H19" s="52"/>
      <c r="J19" s="119" t="str">
        <f>IF(OR($B$2=1,$B$2=2,$B$2=3,$B$2=4, $B$2=7),"Щомісячні платежі очікуються",IF(OR($B$2=5,$B$2=6),"Сплата процентів очікується"))</f>
        <v>Щомісячні платежі очікуються</v>
      </c>
      <c r="K19" s="119"/>
      <c r="L19" s="119"/>
      <c r="N19" s="36"/>
      <c r="O19" s="53">
        <v>25</v>
      </c>
      <c r="P19" s="22" t="str">
        <f>"числа кожного місяця"</f>
        <v>числа кожного місяця</v>
      </c>
      <c r="R19" s="54"/>
    </row>
    <row r="20" spans="1:20" ht="11.25" customHeight="1" x14ac:dyDescent="0.2">
      <c r="B20" s="22" t="s">
        <v>6</v>
      </c>
      <c r="F20" s="55">
        <v>9.9999999999999995E-8</v>
      </c>
      <c r="G20" s="56"/>
      <c r="H20" s="56"/>
      <c r="K20" s="32"/>
      <c r="L20" s="32"/>
      <c r="M20" s="32"/>
      <c r="N20" s="32"/>
      <c r="R20" s="57"/>
    </row>
    <row r="21" spans="1:20" ht="12" customHeight="1" x14ac:dyDescent="0.2">
      <c r="B21" s="22" t="str">
        <f>"Метод розрахунку процентів"</f>
        <v>Метод розрахунку процентів</v>
      </c>
      <c r="F21" s="58" t="str">
        <f>"факт/факт"</f>
        <v>факт/факт</v>
      </c>
      <c r="G21" s="59"/>
      <c r="H21" s="59"/>
      <c r="K21" s="32"/>
      <c r="L21" s="32"/>
      <c r="M21" s="32"/>
      <c r="N21" s="32"/>
      <c r="O21" s="60"/>
      <c r="P21" s="22" t="str">
        <f>IF(OR($J$2=3),"гривень","")</f>
        <v/>
      </c>
      <c r="R21" s="54"/>
    </row>
    <row r="22" spans="1:20" ht="20.25" customHeight="1" x14ac:dyDescent="0.2">
      <c r="B22" s="22"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K22" s="32"/>
      <c r="L22" s="32"/>
      <c r="M22" s="32"/>
      <c r="N22" s="32"/>
    </row>
    <row r="23" spans="1:20" ht="20.25" customHeight="1" x14ac:dyDescent="0.2">
      <c r="K23" s="32"/>
      <c r="L23" s="32"/>
      <c r="M23" s="32"/>
      <c r="N23" s="32"/>
    </row>
    <row r="24" spans="1:20" ht="20.25" customHeight="1" x14ac:dyDescent="0.2">
      <c r="K24" s="32"/>
      <c r="L24" s="32"/>
      <c r="M24" s="32"/>
      <c r="N24" s="32"/>
    </row>
    <row r="25" spans="1:20" ht="20.25" customHeight="1" x14ac:dyDescent="0.2">
      <c r="B25" s="138" t="s">
        <v>58</v>
      </c>
      <c r="C25" s="138"/>
      <c r="D25" s="138"/>
      <c r="E25" s="138"/>
      <c r="F25" s="138"/>
      <c r="G25" s="138"/>
      <c r="H25" s="138"/>
      <c r="I25" s="138"/>
      <c r="J25" s="138"/>
      <c r="K25" s="138"/>
      <c r="L25" s="138"/>
      <c r="M25" s="138"/>
      <c r="N25" s="139"/>
      <c r="O25" s="20">
        <v>2.9899999999999999E-2</v>
      </c>
      <c r="P25" s="14"/>
      <c r="Q25" s="14"/>
      <c r="R25" s="13"/>
    </row>
    <row r="26" spans="1:20" ht="25.5" customHeight="1" x14ac:dyDescent="0.2">
      <c r="B26" s="140" t="s">
        <v>59</v>
      </c>
      <c r="C26" s="140"/>
      <c r="D26" s="140"/>
      <c r="E26" s="140"/>
      <c r="F26" s="140"/>
      <c r="G26" s="140"/>
      <c r="H26" s="140"/>
      <c r="I26" s="140"/>
      <c r="J26" s="140"/>
      <c r="K26" s="140"/>
      <c r="L26" s="140"/>
      <c r="M26" s="140"/>
      <c r="N26" s="141"/>
      <c r="O26" s="21">
        <v>0</v>
      </c>
      <c r="P26" s="14"/>
      <c r="Q26" s="14"/>
      <c r="R26" s="13"/>
    </row>
    <row r="27" spans="1:20" ht="20.25" customHeight="1" x14ac:dyDescent="0.2">
      <c r="B27" s="15" t="s">
        <v>5</v>
      </c>
      <c r="C27" s="16"/>
      <c r="D27" s="16"/>
      <c r="E27" s="16"/>
      <c r="F27" s="16"/>
      <c r="G27" s="16"/>
      <c r="H27" s="16"/>
      <c r="I27" s="17"/>
      <c r="J27" s="18"/>
      <c r="K27" s="18"/>
      <c r="L27" s="18"/>
      <c r="M27" s="18"/>
      <c r="N27" s="18"/>
      <c r="O27" s="18"/>
      <c r="P27" s="18"/>
      <c r="Q27" s="18"/>
      <c r="R27" s="19"/>
    </row>
    <row r="28" spans="1:20" ht="25.5" customHeight="1" x14ac:dyDescent="0.2">
      <c r="B28" s="136" t="s">
        <v>60</v>
      </c>
      <c r="C28" s="137"/>
      <c r="D28" s="137"/>
      <c r="E28" s="137"/>
      <c r="F28" s="137"/>
      <c r="G28" s="137"/>
      <c r="H28" s="137"/>
      <c r="I28" s="137"/>
      <c r="J28" s="137"/>
      <c r="K28" s="137"/>
      <c r="L28" s="137"/>
      <c r="M28" s="137"/>
      <c r="N28" s="137"/>
      <c r="O28" s="137"/>
      <c r="P28" s="137"/>
      <c r="Q28" s="137"/>
      <c r="R28" s="13"/>
    </row>
    <row r="29" spans="1:20" ht="17.25" customHeight="1" x14ac:dyDescent="0.2">
      <c r="A29" s="130" t="s">
        <v>45</v>
      </c>
      <c r="B29" s="130"/>
      <c r="C29" s="130"/>
      <c r="D29" s="130"/>
      <c r="E29" s="130"/>
      <c r="F29" s="130"/>
      <c r="G29" s="130"/>
      <c r="H29" s="130"/>
      <c r="I29" s="130"/>
      <c r="J29" s="130"/>
      <c r="K29" s="130"/>
      <c r="L29" s="130"/>
      <c r="M29" s="130"/>
      <c r="N29" s="130"/>
      <c r="O29" s="130"/>
      <c r="P29" s="130"/>
      <c r="Q29" s="130"/>
      <c r="R29" s="130"/>
    </row>
    <row r="30" spans="1:20" ht="13.5" customHeight="1" x14ac:dyDescent="0.2">
      <c r="A30" s="109" t="s">
        <v>18</v>
      </c>
      <c r="B30" s="109" t="s">
        <v>24</v>
      </c>
      <c r="C30" s="109" t="s">
        <v>23</v>
      </c>
      <c r="D30" s="114"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0" s="133" t="s">
        <v>28</v>
      </c>
      <c r="F30" s="134"/>
      <c r="G30" s="134"/>
      <c r="H30" s="134"/>
      <c r="I30" s="134"/>
      <c r="J30" s="134"/>
      <c r="K30" s="134"/>
      <c r="L30" s="134"/>
      <c r="M30" s="134"/>
      <c r="N30" s="134"/>
      <c r="O30" s="134"/>
      <c r="P30" s="134"/>
      <c r="Q30" s="123" t="s">
        <v>43</v>
      </c>
      <c r="R30" s="120" t="s">
        <v>44</v>
      </c>
      <c r="S30" s="61" t="s">
        <v>2</v>
      </c>
      <c r="T30" s="61"/>
    </row>
    <row r="31" spans="1:20" ht="14.25" customHeight="1" x14ac:dyDescent="0.2">
      <c r="A31" s="110"/>
      <c r="B31" s="110"/>
      <c r="C31" s="110"/>
      <c r="D31" s="115"/>
      <c r="E31" s="109" t="s">
        <v>25</v>
      </c>
      <c r="F31" s="114" t="s">
        <v>27</v>
      </c>
      <c r="G31" s="126" t="s">
        <v>48</v>
      </c>
      <c r="H31" s="127"/>
      <c r="I31" s="127"/>
      <c r="J31" s="127"/>
      <c r="K31" s="127"/>
      <c r="L31" s="127"/>
      <c r="M31" s="127"/>
      <c r="N31" s="127"/>
      <c r="O31" s="127"/>
      <c r="P31" s="127"/>
      <c r="Q31" s="124"/>
      <c r="R31" s="121"/>
      <c r="S31" s="32"/>
    </row>
    <row r="32" spans="1:20" ht="13.5" customHeight="1" x14ac:dyDescent="0.2">
      <c r="A32" s="110"/>
      <c r="B32" s="110"/>
      <c r="C32" s="110"/>
      <c r="D32" s="115"/>
      <c r="E32" s="110"/>
      <c r="F32" s="115"/>
      <c r="G32" s="112" t="s">
        <v>8</v>
      </c>
      <c r="H32" s="113"/>
      <c r="I32" s="113"/>
      <c r="J32" s="113"/>
      <c r="K32" s="112" t="s">
        <v>10</v>
      </c>
      <c r="L32" s="113"/>
      <c r="M32" s="112" t="s">
        <v>13</v>
      </c>
      <c r="N32" s="113"/>
      <c r="O32" s="113"/>
      <c r="P32" s="113"/>
      <c r="Q32" s="124"/>
      <c r="R32" s="121"/>
      <c r="S32" s="32"/>
    </row>
    <row r="33" spans="1:26" ht="51" customHeight="1" x14ac:dyDescent="0.2">
      <c r="A33" s="111"/>
      <c r="B33" s="111"/>
      <c r="C33" s="111"/>
      <c r="D33" s="116"/>
      <c r="E33" s="111"/>
      <c r="F33" s="116"/>
      <c r="G33" s="62" t="s">
        <v>9</v>
      </c>
      <c r="H33" s="63" t="s">
        <v>0</v>
      </c>
      <c r="I33" s="64" t="s">
        <v>46</v>
      </c>
      <c r="J33" s="65" t="s">
        <v>32</v>
      </c>
      <c r="K33" s="66" t="s">
        <v>11</v>
      </c>
      <c r="L33" s="66" t="s">
        <v>12</v>
      </c>
      <c r="M33" s="67" t="s">
        <v>14</v>
      </c>
      <c r="N33" s="67" t="s">
        <v>15</v>
      </c>
      <c r="O33" s="67" t="s">
        <v>16</v>
      </c>
      <c r="P33" s="68" t="s">
        <v>39</v>
      </c>
      <c r="Q33" s="125"/>
      <c r="R33" s="122"/>
      <c r="S33" s="32"/>
    </row>
    <row r="34" spans="1:26" ht="11.25" customHeight="1" x14ac:dyDescent="0.2">
      <c r="A34" s="103">
        <v>1</v>
      </c>
      <c r="B34" s="103" t="s">
        <v>19</v>
      </c>
      <c r="C34" s="105" t="s">
        <v>20</v>
      </c>
      <c r="D34" s="103" t="s">
        <v>21</v>
      </c>
      <c r="E34" s="105" t="s">
        <v>22</v>
      </c>
      <c r="F34" s="103" t="s">
        <v>26</v>
      </c>
      <c r="G34" s="107" t="s">
        <v>17</v>
      </c>
      <c r="H34" s="107" t="s">
        <v>29</v>
      </c>
      <c r="I34" s="107" t="s">
        <v>30</v>
      </c>
      <c r="J34" s="107" t="s">
        <v>31</v>
      </c>
      <c r="K34" s="107" t="s">
        <v>33</v>
      </c>
      <c r="L34" s="107" t="s">
        <v>34</v>
      </c>
      <c r="M34" s="107" t="s">
        <v>35</v>
      </c>
      <c r="N34" s="107" t="s">
        <v>36</v>
      </c>
      <c r="O34" s="107" t="s">
        <v>37</v>
      </c>
      <c r="P34" s="107" t="s">
        <v>38</v>
      </c>
      <c r="Q34" s="69" t="s">
        <v>41</v>
      </c>
      <c r="R34" s="70" t="s">
        <v>42</v>
      </c>
    </row>
    <row r="35" spans="1:26" ht="11.25" customHeight="1" x14ac:dyDescent="0.2">
      <c r="A35" s="104"/>
      <c r="B35" s="104"/>
      <c r="C35" s="106"/>
      <c r="D35" s="104"/>
      <c r="E35" s="106"/>
      <c r="F35" s="104"/>
      <c r="G35" s="108"/>
      <c r="H35" s="108"/>
      <c r="I35" s="108"/>
      <c r="J35" s="108"/>
      <c r="K35" s="108"/>
      <c r="L35" s="108"/>
      <c r="M35" s="108"/>
      <c r="N35" s="108"/>
      <c r="O35" s="108"/>
      <c r="P35" s="108"/>
      <c r="Q35" s="71"/>
      <c r="R35" s="72"/>
    </row>
    <row r="36" spans="1:26" s="81" customFormat="1" ht="13.5" customHeight="1" x14ac:dyDescent="0.2">
      <c r="A36" s="73">
        <v>1</v>
      </c>
      <c r="B36" s="74">
        <f ca="1">DATE(YEAR($O$14),MONTH($O$14),DAY($O$14))</f>
        <v>44438</v>
      </c>
      <c r="C36" s="75" t="s">
        <v>1</v>
      </c>
      <c r="D36" s="76">
        <f>E36+SUM(G36:P36)</f>
        <v>-9701</v>
      </c>
      <c r="E36" s="77">
        <f>-O12</f>
        <v>-10000</v>
      </c>
      <c r="F36" s="73" t="s">
        <v>1</v>
      </c>
      <c r="G36" s="76">
        <v>0</v>
      </c>
      <c r="H36" s="76">
        <v>0</v>
      </c>
      <c r="I36" s="76">
        <v>0</v>
      </c>
      <c r="J36" s="77">
        <f>E36*O25*(-1)</f>
        <v>299</v>
      </c>
      <c r="K36" s="76">
        <v>0</v>
      </c>
      <c r="L36" s="77">
        <v>0</v>
      </c>
      <c r="M36" s="77">
        <v>0</v>
      </c>
      <c r="N36" s="77">
        <v>0</v>
      </c>
      <c r="O36" s="76" t="s">
        <v>7</v>
      </c>
      <c r="P36" s="77">
        <v>0</v>
      </c>
      <c r="Q36" s="78" t="str">
        <f ca="1">IF(OR($B47="Усього",$B47=""),"",IF($S36=0,XIRR(D35:D$36,B35:B$36,0.2),"Х"))</f>
        <v>Х</v>
      </c>
      <c r="R36" s="78" t="s">
        <v>1</v>
      </c>
      <c r="S36" s="79">
        <f>-E36</f>
        <v>10000</v>
      </c>
      <c r="T36" s="79"/>
      <c r="U36" s="80"/>
      <c r="Y36" s="82"/>
      <c r="Z36" s="82"/>
    </row>
    <row r="37" spans="1:26" x14ac:dyDescent="0.2">
      <c r="A37" s="73">
        <v>2</v>
      </c>
      <c r="B37" s="83">
        <f t="shared" ref="B37:B47" ca="1" si="0">DATE(YEAR(B36),MONTH(B36)+1,DAY($O$19))</f>
        <v>44464</v>
      </c>
      <c r="C37" s="84">
        <f t="shared" ref="C37:C47" ca="1" si="1">B37-B36</f>
        <v>26</v>
      </c>
      <c r="D37" s="76">
        <f ca="1">IF($S36=0,SUM(D36:D$37),SUM(E37:P37))</f>
        <v>700.00000000000011</v>
      </c>
      <c r="E37" s="77">
        <f>-E36*7%</f>
        <v>700.00000000000011</v>
      </c>
      <c r="F37" s="85">
        <f ca="1">IF(B37-B36&lt;70,0,(S36*($F$19))*((B37-B36)-30)/(DATE(YEAR(B37)+1,1,1)-DATE(YEAR(B37),1,1)))</f>
        <v>0</v>
      </c>
      <c r="G37" s="76">
        <v>0</v>
      </c>
      <c r="H37" s="76">
        <v>0</v>
      </c>
      <c r="I37" s="76">
        <v>0</v>
      </c>
      <c r="J37" s="76">
        <f ca="1">IF(OR($B36="Усього",$B36=""),"",IF($S36=0,SUM(J$36:J36),0))</f>
        <v>0</v>
      </c>
      <c r="K37" s="76">
        <v>0</v>
      </c>
      <c r="L37" s="77">
        <v>0</v>
      </c>
      <c r="M37" s="77">
        <v>0</v>
      </c>
      <c r="N37" s="77">
        <v>0</v>
      </c>
      <c r="O37" s="76">
        <f>S36*O$26</f>
        <v>0</v>
      </c>
      <c r="P37" s="77">
        <v>0</v>
      </c>
      <c r="Q37" s="86" t="str">
        <f>IF($O$12&lt;=0,0,IF($S36=0,0,"Х"))</f>
        <v>Х</v>
      </c>
      <c r="R37" s="87" t="str">
        <f t="shared" ref="R37:R47" ca="1" si="2">IF(OR($B36="Усього",$B36=""),"",IF($S36=0,SUM(F37:P37),"Х"))</f>
        <v>Х</v>
      </c>
      <c r="S37" s="88">
        <f t="shared" ref="S37:S48" ca="1" si="3">IF($S36=0,"",IF(DATE(YEAR(B36),MONTH(B36)+1,DAY($O$18))&gt;$O$16,0,S36-E37))</f>
        <v>9300</v>
      </c>
      <c r="T37" s="89" t="str">
        <f t="shared" ref="T37:T47" ca="1" si="4">IF(AND(B37&lt;=B36,B37&lt;&gt;""),"Невідповідність дат","")</f>
        <v/>
      </c>
      <c r="Y37" s="22"/>
      <c r="Z37" s="22"/>
    </row>
    <row r="38" spans="1:26" x14ac:dyDescent="0.2">
      <c r="A38" s="73">
        <v>3</v>
      </c>
      <c r="B38" s="83">
        <f t="shared" ca="1" si="0"/>
        <v>44494</v>
      </c>
      <c r="C38" s="84">
        <f t="shared" ca="1" si="1"/>
        <v>30</v>
      </c>
      <c r="D38" s="76">
        <f ca="1">IF($S37=0,SUM(D37:D$37),SUM(E38:P38))</f>
        <v>651.00000000000011</v>
      </c>
      <c r="E38" s="77">
        <f t="shared" ref="E38:E46" ca="1" si="5">S37*7%</f>
        <v>651.00000000000011</v>
      </c>
      <c r="F38" s="90">
        <v>0</v>
      </c>
      <c r="G38" s="76">
        <v>0</v>
      </c>
      <c r="H38" s="76">
        <v>0</v>
      </c>
      <c r="I38" s="76">
        <v>0</v>
      </c>
      <c r="J38" s="76">
        <f ca="1">IF(OR($B37="Усього",$B37=""),"",IF($S37=0,SUM(J$36:J37),0))</f>
        <v>0</v>
      </c>
      <c r="K38" s="76">
        <v>0</v>
      </c>
      <c r="L38" s="77">
        <v>0</v>
      </c>
      <c r="M38" s="77">
        <v>0</v>
      </c>
      <c r="N38" s="77">
        <v>0</v>
      </c>
      <c r="O38" s="76">
        <f t="shared" ref="O38:O48" ca="1" si="6">S37*O$26</f>
        <v>0</v>
      </c>
      <c r="P38" s="77">
        <v>0</v>
      </c>
      <c r="Q38" s="86" t="str">
        <f ca="1">IF(OR($B37="Усього",$B37=""),"",IF($S37=0,XIRR(D$36:D37,B$36:B37,0.2),"Х"))</f>
        <v>Х</v>
      </c>
      <c r="R38" s="87" t="str">
        <f t="shared" ca="1" si="2"/>
        <v>Х</v>
      </c>
      <c r="S38" s="88">
        <f t="shared" ca="1" si="3"/>
        <v>8649</v>
      </c>
      <c r="T38" s="89" t="str">
        <f t="shared" ca="1" si="4"/>
        <v/>
      </c>
      <c r="Y38" s="22"/>
      <c r="Z38" s="22"/>
    </row>
    <row r="39" spans="1:26" ht="9.6" customHeight="1" x14ac:dyDescent="0.2">
      <c r="A39" s="73">
        <v>4</v>
      </c>
      <c r="B39" s="83">
        <f t="shared" ca="1" si="0"/>
        <v>44525</v>
      </c>
      <c r="C39" s="84">
        <f t="shared" ca="1" si="1"/>
        <v>31</v>
      </c>
      <c r="D39" s="76">
        <f ca="1">IF($S38=0,SUM(D$37:D38),SUM(E39:P39))</f>
        <v>1246.037589041096</v>
      </c>
      <c r="E39" s="77">
        <f t="shared" ca="1" si="5"/>
        <v>605.43000000000006</v>
      </c>
      <c r="F39" s="85">
        <f ca="1">((E36*-1)*F19/365*C37)+(S37*F19/365*C38)+S38*F19/365*7</f>
        <v>640.60758904109593</v>
      </c>
      <c r="G39" s="76">
        <v>0</v>
      </c>
      <c r="H39" s="76">
        <v>0</v>
      </c>
      <c r="I39" s="76">
        <v>0</v>
      </c>
      <c r="J39" s="76">
        <f ca="1">IF(OR($B38="Усього",$B38=""),"",IF($S38=0,SUM(J$36:J38),0))</f>
        <v>0</v>
      </c>
      <c r="K39" s="76">
        <v>0</v>
      </c>
      <c r="L39" s="77">
        <v>0</v>
      </c>
      <c r="M39" s="77">
        <v>0</v>
      </c>
      <c r="N39" s="77">
        <v>0</v>
      </c>
      <c r="O39" s="76">
        <f t="shared" ca="1" si="6"/>
        <v>0</v>
      </c>
      <c r="P39" s="77">
        <v>0</v>
      </c>
      <c r="Q39" s="86" t="str">
        <f ca="1">IF(OR($B38="Усього",$B38=""),"",IF($S38=0,XIRR(D$36:D38,B$36:B38,0.2),"Х"))</f>
        <v>Х</v>
      </c>
      <c r="R39" s="87" t="str">
        <f t="shared" ca="1" si="2"/>
        <v>Х</v>
      </c>
      <c r="S39" s="88">
        <f t="shared" ca="1" si="3"/>
        <v>8043.57</v>
      </c>
      <c r="T39" s="89" t="str">
        <f t="shared" ca="1" si="4"/>
        <v/>
      </c>
      <c r="Y39" s="22"/>
      <c r="Z39" s="22"/>
    </row>
    <row r="40" spans="1:26" x14ac:dyDescent="0.2">
      <c r="A40" s="73">
        <v>5</v>
      </c>
      <c r="B40" s="83">
        <f t="shared" ca="1" si="0"/>
        <v>44555</v>
      </c>
      <c r="C40" s="84">
        <f t="shared" ca="1" si="1"/>
        <v>30</v>
      </c>
      <c r="D40" s="76">
        <f ca="1">IF($S39=0,SUM(D$37:D39),SUM(E40:P40))</f>
        <v>820.88488356164385</v>
      </c>
      <c r="E40" s="77">
        <f t="shared" ca="1" si="5"/>
        <v>563.04989999999998</v>
      </c>
      <c r="F40" s="85">
        <f ca="1">IF(OR($B39="Усього",$B39=""),"",IF($S39=0,SUM(F$37:F40),S39*($F$19)*(B40-B39)/(DATE(YEAR(B38)+1,1,1)-DATE(YEAR(B38),1,1))))</f>
        <v>257.83498356164381</v>
      </c>
      <c r="G40" s="76">
        <v>0</v>
      </c>
      <c r="H40" s="76">
        <v>0</v>
      </c>
      <c r="I40" s="76">
        <v>0</v>
      </c>
      <c r="J40" s="76">
        <f ca="1">IF(OR($B39="Усього",$B39=""),"",IF($S39=0,SUM(J$36:J39),0))</f>
        <v>0</v>
      </c>
      <c r="K40" s="76">
        <v>0</v>
      </c>
      <c r="L40" s="77">
        <v>0</v>
      </c>
      <c r="M40" s="77">
        <v>0</v>
      </c>
      <c r="N40" s="77">
        <v>0</v>
      </c>
      <c r="O40" s="76">
        <f t="shared" ca="1" si="6"/>
        <v>0</v>
      </c>
      <c r="P40" s="77">
        <v>0</v>
      </c>
      <c r="Q40" s="86" t="str">
        <f ca="1">IF(OR($B39="Усього",$B39=""),"",IF($S39=0,XIRR(D$36:D39,B$36:B39,0.2),"Х"))</f>
        <v>Х</v>
      </c>
      <c r="R40" s="87" t="str">
        <f t="shared" ca="1" si="2"/>
        <v>Х</v>
      </c>
      <c r="S40" s="88">
        <f t="shared" ca="1" si="3"/>
        <v>7480.5200999999997</v>
      </c>
      <c r="T40" s="89" t="str">
        <f t="shared" ca="1" si="4"/>
        <v/>
      </c>
      <c r="Y40" s="22"/>
      <c r="Z40" s="22"/>
    </row>
    <row r="41" spans="1:26" x14ac:dyDescent="0.2">
      <c r="A41" s="73">
        <v>6</v>
      </c>
      <c r="B41" s="83">
        <f t="shared" ca="1" si="0"/>
        <v>44586</v>
      </c>
      <c r="C41" s="84">
        <f t="shared" ca="1" si="1"/>
        <v>31</v>
      </c>
      <c r="D41" s="76">
        <f ca="1">IF($S40=0,SUM(D$37:D40),SUM(E41:P41))</f>
        <v>771.41582620273982</v>
      </c>
      <c r="E41" s="77">
        <f t="shared" ca="1" si="5"/>
        <v>523.63640700000008</v>
      </c>
      <c r="F41" s="85">
        <f ca="1">IF(OR($B40="Усього",$B40=""),"",IF($S40=0,SUM(F$37:F41),S40*($F$19)*(B41-B40)/(DATE(YEAR(B39)+1,1,1)-DATE(YEAR(B39),1,1))))</f>
        <v>247.77941920273972</v>
      </c>
      <c r="G41" s="76">
        <v>0</v>
      </c>
      <c r="H41" s="76">
        <v>0</v>
      </c>
      <c r="I41" s="76">
        <v>0</v>
      </c>
      <c r="J41" s="76">
        <f ca="1">IF(OR($B40="Усього",$B40=""),"",IF($S40=0,SUM(J$36:J40),0))</f>
        <v>0</v>
      </c>
      <c r="K41" s="76">
        <v>0</v>
      </c>
      <c r="L41" s="77">
        <v>0</v>
      </c>
      <c r="M41" s="77">
        <v>0</v>
      </c>
      <c r="N41" s="77">
        <v>0</v>
      </c>
      <c r="O41" s="76">
        <f t="shared" ca="1" si="6"/>
        <v>0</v>
      </c>
      <c r="P41" s="77">
        <v>0</v>
      </c>
      <c r="Q41" s="86" t="str">
        <f ca="1">IF(OR($B40="Усього",$B40=""),"",IF($S40=0,XIRR(D$36:D40,B$36:B40,0.2),"Х"))</f>
        <v>Х</v>
      </c>
      <c r="R41" s="87" t="str">
        <f t="shared" ca="1" si="2"/>
        <v>Х</v>
      </c>
      <c r="S41" s="88">
        <f t="shared" ca="1" si="3"/>
        <v>6956.8836929999998</v>
      </c>
      <c r="T41" s="89" t="str">
        <f t="shared" ca="1" si="4"/>
        <v/>
      </c>
      <c r="Y41" s="22"/>
      <c r="Z41" s="22"/>
    </row>
    <row r="42" spans="1:26" x14ac:dyDescent="0.2">
      <c r="A42" s="73">
        <v>7</v>
      </c>
      <c r="B42" s="83">
        <f t="shared" ca="1" si="0"/>
        <v>44617</v>
      </c>
      <c r="C42" s="84">
        <f t="shared" ca="1" si="1"/>
        <v>31</v>
      </c>
      <c r="D42" s="76">
        <f ca="1">IF($S41=0,SUM(D$37:D41),SUM(E42:P42))</f>
        <v>717.416718368548</v>
      </c>
      <c r="E42" s="77">
        <f t="shared" ca="1" si="5"/>
        <v>486.98185851000005</v>
      </c>
      <c r="F42" s="85">
        <f ca="1">IF(OR($B41="Усього",$B41=""),"",IF($S41=0,SUM(F$37:F42),S41*($F$19)*(B42-B41)/(DATE(YEAR(B40)+1,1,1)-DATE(YEAR(B40),1,1))))</f>
        <v>230.43485985854792</v>
      </c>
      <c r="G42" s="76">
        <v>0</v>
      </c>
      <c r="H42" s="76">
        <v>0</v>
      </c>
      <c r="I42" s="76">
        <v>0</v>
      </c>
      <c r="J42" s="76">
        <f ca="1">IF(OR($B41="Усього",$B41=""),"",IF($S41=0,SUM(J$36:J41),0))</f>
        <v>0</v>
      </c>
      <c r="K42" s="76">
        <v>0</v>
      </c>
      <c r="L42" s="77">
        <v>0</v>
      </c>
      <c r="M42" s="77">
        <v>0</v>
      </c>
      <c r="N42" s="77">
        <v>0</v>
      </c>
      <c r="O42" s="76">
        <f t="shared" ca="1" si="6"/>
        <v>0</v>
      </c>
      <c r="P42" s="77">
        <v>0</v>
      </c>
      <c r="Q42" s="86" t="str">
        <f ca="1">IF(OR($B41="Усього",$B41=""),"",IF($S41=0,XIRR(D$36:D41,B$36:B41,0.2),"Х"))</f>
        <v>Х</v>
      </c>
      <c r="R42" s="87" t="str">
        <f t="shared" ca="1" si="2"/>
        <v>Х</v>
      </c>
      <c r="S42" s="88">
        <f t="shared" ca="1" si="3"/>
        <v>6469.9018344899996</v>
      </c>
      <c r="T42" s="89" t="str">
        <f t="shared" ca="1" si="4"/>
        <v/>
      </c>
      <c r="U42" s="39"/>
      <c r="Y42" s="22"/>
      <c r="Z42" s="22"/>
    </row>
    <row r="43" spans="1:26" x14ac:dyDescent="0.2">
      <c r="A43" s="73">
        <v>8</v>
      </c>
      <c r="B43" s="83">
        <f t="shared" ca="1" si="0"/>
        <v>44645</v>
      </c>
      <c r="C43" s="84">
        <f t="shared" ca="1" si="1"/>
        <v>28</v>
      </c>
      <c r="D43" s="76">
        <f ca="1">IF($S42=0,SUM(D$37:D42),SUM(E43:P43))</f>
        <v>646.45841069548032</v>
      </c>
      <c r="E43" s="77">
        <f t="shared" ca="1" si="5"/>
        <v>452.89312841430001</v>
      </c>
      <c r="F43" s="85">
        <f ca="1">IF(OR($B42="Усього",$B42=""),"",IF($S42=0,SUM(F$37:F43),S42*($F$19)*(B43-B42)/(DATE(YEAR(B41)+1,1,1)-DATE(YEAR(B41),1,1))))</f>
        <v>193.56528228118029</v>
      </c>
      <c r="G43" s="76">
        <v>0</v>
      </c>
      <c r="H43" s="76">
        <v>0</v>
      </c>
      <c r="I43" s="76">
        <v>0</v>
      </c>
      <c r="J43" s="76">
        <f ca="1">IF(OR($B42="Усього",$B42=""),"",IF($S42=0,SUM(J$36:J42),0))</f>
        <v>0</v>
      </c>
      <c r="K43" s="76">
        <v>0</v>
      </c>
      <c r="L43" s="77">
        <v>0</v>
      </c>
      <c r="M43" s="77">
        <v>0</v>
      </c>
      <c r="N43" s="77">
        <v>0</v>
      </c>
      <c r="O43" s="76">
        <f t="shared" ca="1" si="6"/>
        <v>0</v>
      </c>
      <c r="P43" s="77">
        <v>0</v>
      </c>
      <c r="Q43" s="86" t="str">
        <f ca="1">IF(OR($B42="Усього",$B42=""),"",IF($S42=0,XIRR(D$36:D42,B$36:B42,0.2),"Х"))</f>
        <v>Х</v>
      </c>
      <c r="R43" s="87" t="str">
        <f t="shared" ca="1" si="2"/>
        <v>Х</v>
      </c>
      <c r="S43" s="88">
        <f t="shared" ca="1" si="3"/>
        <v>6017.0087060756996</v>
      </c>
      <c r="T43" s="89" t="str">
        <f t="shared" ca="1" si="4"/>
        <v/>
      </c>
      <c r="Y43" s="22"/>
      <c r="Z43" s="22"/>
    </row>
    <row r="44" spans="1:26" x14ac:dyDescent="0.2">
      <c r="A44" s="73">
        <v>9</v>
      </c>
      <c r="B44" s="83">
        <f t="shared" ca="1" si="0"/>
        <v>44676</v>
      </c>
      <c r="C44" s="84">
        <f t="shared" ca="1" si="1"/>
        <v>31</v>
      </c>
      <c r="D44" s="76">
        <f ca="1">IF($S43=0,SUM(D$37:D43),SUM(E44:P44))</f>
        <v>620.49371971695712</v>
      </c>
      <c r="E44" s="77">
        <f t="shared" ca="1" si="5"/>
        <v>421.19060942529899</v>
      </c>
      <c r="F44" s="85">
        <f ca="1">IF(OR($B43="Усього",$B43=""),"",IF($S43=0,SUM(F$37:F44),S43*($F$19)*(B44-B43)/(DATE(YEAR(B42)+1,1,1)-DATE(YEAR(B42),1,1))))</f>
        <v>199.3031102916581</v>
      </c>
      <c r="G44" s="76">
        <v>0</v>
      </c>
      <c r="H44" s="76">
        <v>0</v>
      </c>
      <c r="I44" s="76">
        <v>0</v>
      </c>
      <c r="J44" s="76">
        <f ca="1">IF(OR($B43="Усього",$B43=""),"",IF($S43=0,SUM(J$36:J43),0))</f>
        <v>0</v>
      </c>
      <c r="K44" s="76">
        <v>0</v>
      </c>
      <c r="L44" s="77">
        <v>0</v>
      </c>
      <c r="M44" s="77">
        <v>0</v>
      </c>
      <c r="N44" s="77">
        <v>0</v>
      </c>
      <c r="O44" s="76">
        <f t="shared" ca="1" si="6"/>
        <v>0</v>
      </c>
      <c r="P44" s="77">
        <v>0</v>
      </c>
      <c r="Q44" s="86" t="str">
        <f ca="1">IF(OR($B43="Усього",$B43=""),"",IF($S43=0,XIRR(D$36:D43,B$36:B43,0.2),"Х"))</f>
        <v>Х</v>
      </c>
      <c r="R44" s="87" t="str">
        <f t="shared" ca="1" si="2"/>
        <v>Х</v>
      </c>
      <c r="S44" s="88">
        <f t="shared" ca="1" si="3"/>
        <v>5595.8180966504005</v>
      </c>
      <c r="T44" s="89" t="str">
        <f t="shared" ca="1" si="4"/>
        <v/>
      </c>
      <c r="Y44" s="22"/>
      <c r="Z44" s="22"/>
    </row>
    <row r="45" spans="1:26" x14ac:dyDescent="0.2">
      <c r="A45" s="73">
        <v>10</v>
      </c>
      <c r="B45" s="83">
        <f t="shared" ca="1" si="0"/>
        <v>44706</v>
      </c>
      <c r="C45" s="84">
        <f t="shared" ca="1" si="1"/>
        <v>30</v>
      </c>
      <c r="D45" s="76">
        <f ca="1">IF($S44=0,SUM(D$37:D44),SUM(E45:P45))</f>
        <v>571.08006602802038</v>
      </c>
      <c r="E45" s="77">
        <f t="shared" ca="1" si="5"/>
        <v>391.70726676552806</v>
      </c>
      <c r="F45" s="85">
        <f ca="1">IF(OR($B44="Усього",$B44=""),"",IF($S44=0,SUM(F$37:F45),S44*($F$19)*(B45-B44)/(DATE(YEAR(B43)+1,1,1)-DATE(YEAR(B43),1,1))))</f>
        <v>179.37279926249232</v>
      </c>
      <c r="G45" s="76">
        <v>0</v>
      </c>
      <c r="H45" s="76">
        <v>0</v>
      </c>
      <c r="I45" s="76">
        <v>0</v>
      </c>
      <c r="J45" s="76">
        <f ca="1">IF(OR($B44="Усього",$B44=""),"",IF($S44=0,SUM(J$36:J44),0))</f>
        <v>0</v>
      </c>
      <c r="K45" s="76">
        <v>0</v>
      </c>
      <c r="L45" s="77">
        <v>0</v>
      </c>
      <c r="M45" s="77">
        <v>0</v>
      </c>
      <c r="N45" s="77">
        <v>0</v>
      </c>
      <c r="O45" s="76">
        <f t="shared" ca="1" si="6"/>
        <v>0</v>
      </c>
      <c r="P45" s="77">
        <v>0</v>
      </c>
      <c r="Q45" s="86" t="str">
        <f ca="1">IF(OR($B44="Усього",$B44=""),"",IF($S44=0,XIRR(D$36:D44,B$36:B44,0.2),"Х"))</f>
        <v>Х</v>
      </c>
      <c r="R45" s="87" t="str">
        <f t="shared" ca="1" si="2"/>
        <v>Х</v>
      </c>
      <c r="S45" s="88">
        <f t="shared" ca="1" si="3"/>
        <v>5204.1108298848721</v>
      </c>
      <c r="T45" s="89" t="str">
        <f t="shared" ca="1" si="4"/>
        <v/>
      </c>
      <c r="Y45" s="22"/>
      <c r="Z45" s="22"/>
    </row>
    <row r="46" spans="1:26" x14ac:dyDescent="0.2">
      <c r="A46" s="73">
        <v>11</v>
      </c>
      <c r="B46" s="83">
        <f t="shared" ca="1" si="0"/>
        <v>44737</v>
      </c>
      <c r="C46" s="84">
        <f t="shared" ca="1" si="1"/>
        <v>31</v>
      </c>
      <c r="D46" s="76">
        <f ca="1">IF($S45=0,SUM(D$37:D45),SUM(E46:P46))</f>
        <v>536.66501818319614</v>
      </c>
      <c r="E46" s="77">
        <f t="shared" ca="1" si="5"/>
        <v>364.2877580919411</v>
      </c>
      <c r="F46" s="85">
        <f ca="1">IF(OR($B45="Усього",$B45=""),"",IF($S45=0,SUM(F$37:F46),S45*($F$19)*(B46-B45)/(DATE(YEAR(B44)+1,1,1)-DATE(YEAR(B44),1,1))))</f>
        <v>172.37726009125507</v>
      </c>
      <c r="G46" s="76">
        <v>0</v>
      </c>
      <c r="H46" s="76">
        <v>0</v>
      </c>
      <c r="I46" s="76">
        <v>0</v>
      </c>
      <c r="J46" s="76">
        <f ca="1">IF(OR($B45="Усього",$B45=""),"",IF($S45=0,SUM(J$36:J45),0))</f>
        <v>0</v>
      </c>
      <c r="K46" s="76">
        <v>0</v>
      </c>
      <c r="L46" s="77">
        <v>0</v>
      </c>
      <c r="M46" s="77">
        <v>0</v>
      </c>
      <c r="N46" s="77">
        <v>0</v>
      </c>
      <c r="O46" s="76">
        <f t="shared" ca="1" si="6"/>
        <v>0</v>
      </c>
      <c r="P46" s="77">
        <v>0</v>
      </c>
      <c r="Q46" s="86" t="str">
        <f ca="1">IF(OR($B45="Усього",$B45=""),"",IF($S45=0,XIRR(D$36:D45,B$36:B45,0.2),"Х"))</f>
        <v>Х</v>
      </c>
      <c r="R46" s="87" t="str">
        <f t="shared" ca="1" si="2"/>
        <v>Х</v>
      </c>
      <c r="S46" s="88">
        <f t="shared" ca="1" si="3"/>
        <v>4839.8230717929309</v>
      </c>
      <c r="T46" s="89" t="str">
        <f t="shared" ca="1" si="4"/>
        <v/>
      </c>
      <c r="Y46" s="22"/>
      <c r="Z46" s="22"/>
    </row>
    <row r="47" spans="1:26" x14ac:dyDescent="0.2">
      <c r="A47" s="73">
        <v>12</v>
      </c>
      <c r="B47" s="83">
        <f t="shared" ca="1" si="0"/>
        <v>44767</v>
      </c>
      <c r="C47" s="84">
        <f t="shared" ca="1" si="1"/>
        <v>30</v>
      </c>
      <c r="D47" s="76">
        <f ca="1">IF($S46=0,SUM(D$37:D46),SUM(E47:P47))</f>
        <v>493.92714910763476</v>
      </c>
      <c r="E47" s="76">
        <f ca="1">IF(B47=$O$16,S46,S46*7%)</f>
        <v>338.7876150255052</v>
      </c>
      <c r="F47" s="85">
        <f ca="1">IF(OR($B46="Усього",$B46=""),"",IF($S46=0,SUM(F$37:F47),S46*($F$19)*(B47-B46)/(DATE(YEAR(B45)+1,1,1)-DATE(YEAR(B45),1,1))))</f>
        <v>155.13953408212956</v>
      </c>
      <c r="G47" s="76">
        <v>0</v>
      </c>
      <c r="H47" s="76">
        <v>0</v>
      </c>
      <c r="I47" s="76">
        <v>0</v>
      </c>
      <c r="J47" s="76">
        <f ca="1">IF(OR($B46="Усього",$B46=""),"",IF($S46=0,SUM(J$36:J46),0))</f>
        <v>0</v>
      </c>
      <c r="K47" s="76">
        <v>0</v>
      </c>
      <c r="L47" s="77">
        <v>0</v>
      </c>
      <c r="M47" s="77">
        <v>0</v>
      </c>
      <c r="N47" s="77">
        <v>0</v>
      </c>
      <c r="O47" s="76">
        <f t="shared" ca="1" si="6"/>
        <v>0</v>
      </c>
      <c r="P47" s="77">
        <v>0</v>
      </c>
      <c r="Q47" s="86" t="str">
        <f ca="1">IF(OR($B46="Усього",$B46=""),"",IF($S46=0,XIRR(D$36:D46,B$36:B46,0.2),"Х"))</f>
        <v>Х</v>
      </c>
      <c r="R47" s="87" t="str">
        <f t="shared" ca="1" si="2"/>
        <v>Х</v>
      </c>
      <c r="S47" s="88">
        <f t="shared" ca="1" si="3"/>
        <v>4501.0354567674258</v>
      </c>
      <c r="T47" s="89" t="str">
        <f t="shared" ca="1" si="4"/>
        <v/>
      </c>
      <c r="Y47" s="22"/>
      <c r="Z47" s="22"/>
    </row>
    <row r="48" spans="1:26" s="95" customFormat="1" x14ac:dyDescent="0.2">
      <c r="A48" s="91" t="str">
        <f ca="1">IF(DAY($O$14)=1,"","13")</f>
        <v>13</v>
      </c>
      <c r="B48" s="12">
        <f ca="1">IF(DAY($O$14)=1,"Усього",O16)</f>
        <v>44798</v>
      </c>
      <c r="C48" s="92">
        <f ca="1">IF(DAY($O$14)=1,"",B48-B47)</f>
        <v>31</v>
      </c>
      <c r="D48" s="7">
        <f ca="1">IF($S47=0,SUM(D$37:D47),SUM(E48:P48))</f>
        <v>4650.1245490203519</v>
      </c>
      <c r="E48" s="7">
        <f ca="1">IF($S47=0,SUM($E$37:$E47),S47)</f>
        <v>4501.0354567674258</v>
      </c>
      <c r="F48" s="7">
        <f ca="1">IF($S47=0,SUM(F$37:F47),S47*($F19)*(B48-B47)/(DATE(YEAR(B46)+1,1,1)-DATE(YEAR(B46),1,1)))</f>
        <v>149.08909225292652</v>
      </c>
      <c r="G48" s="7">
        <f ca="1">IF(OR($B47="Усього",$B47=""),"",IF($S47=0,SUM(G$36:G47),0))</f>
        <v>0</v>
      </c>
      <c r="H48" s="7">
        <f ca="1">IF(OR($B47="Усього",$B47=""),"",IF($S47=0,SUM(H$36:H47),0))</f>
        <v>0</v>
      </c>
      <c r="I48" s="7">
        <f ca="1">IF(OR($B47="Усього",$B47=""),"",IF($S47=0,SUM(I$36:I47),0))</f>
        <v>0</v>
      </c>
      <c r="J48" s="7">
        <f ca="1">IF(OR($B47="Усього",$B47=""),"",IF($S47=0,SUM(J$36:J47),0))</f>
        <v>0</v>
      </c>
      <c r="K48" s="7">
        <f ca="1">IF(OR($B47="Усього",$B47=""),"",IF($S47=0,SUM(K$36:K47),0))</f>
        <v>0</v>
      </c>
      <c r="L48" s="7">
        <f ca="1">IF(OR($B47="Усього",$B47=""),"",IF($S47=0,SUM(L$36:L47),0))</f>
        <v>0</v>
      </c>
      <c r="M48" s="7">
        <f ca="1">IF(OR($B47="Усього",$B47=""),"",IF($S47=0,SUM(M$36:M47),0))</f>
        <v>0</v>
      </c>
      <c r="N48" s="7">
        <f ca="1">IF(OR($B47="Усього",$B47=""),"",IF($S47=0,SUM(N$36:N47),0))</f>
        <v>0</v>
      </c>
      <c r="O48" s="76">
        <f t="shared" ca="1" si="6"/>
        <v>0</v>
      </c>
      <c r="P48" s="7">
        <f ca="1">IF(OR($B47="Усього",$B47=""),"",IF($S47=0,SUM(P$36:P47),0))</f>
        <v>0</v>
      </c>
      <c r="Q48" s="8" t="str">
        <f ca="1">IF(OR($B47="Усього",$B47=""),"",IF($S47=0,XIRR(D$36:D47,B$36:B47,0.2),"Х"))</f>
        <v>Х</v>
      </c>
      <c r="R48" s="10" t="str">
        <f ca="1">IF(DAY($O$14)=1,SUM(E48:P48),"Х")</f>
        <v>Х</v>
      </c>
      <c r="S48" s="11">
        <f t="shared" ca="1" si="3"/>
        <v>0</v>
      </c>
      <c r="T48" s="93"/>
      <c r="U48" s="94"/>
      <c r="Y48" s="96"/>
      <c r="Z48" s="96"/>
    </row>
    <row r="49" spans="1:26" ht="15.75" customHeight="1" x14ac:dyDescent="0.25">
      <c r="B49" s="12" t="str">
        <f ca="1">IF(DAY($O$14)=1,"","Усього")</f>
        <v>Усього</v>
      </c>
      <c r="C49" s="97"/>
      <c r="D49" s="7">
        <f ca="1">IF(DAY($O$14)=1,"",SUM(D37:D48))</f>
        <v>12425.503929925668</v>
      </c>
      <c r="E49" s="7">
        <f ca="1">IF(DAY($O$14)=1,"",SUM(E37:E48))</f>
        <v>10000</v>
      </c>
      <c r="F49" s="7">
        <f ca="1">IF(DAY($O$14)=1,"",SUM(F37:F48))</f>
        <v>2425.5039299256696</v>
      </c>
      <c r="G49" s="7">
        <f t="shared" ref="G49:P49" ca="1" si="7">IF(DAY($O$14)=1,"",SUM(G36:G48))</f>
        <v>0</v>
      </c>
      <c r="H49" s="7">
        <f t="shared" ca="1" si="7"/>
        <v>0</v>
      </c>
      <c r="I49" s="7">
        <f t="shared" ca="1" si="7"/>
        <v>0</v>
      </c>
      <c r="J49" s="7">
        <f t="shared" ca="1" si="7"/>
        <v>299</v>
      </c>
      <c r="K49" s="7">
        <f t="shared" ca="1" si="7"/>
        <v>0</v>
      </c>
      <c r="L49" s="7">
        <f t="shared" ca="1" si="7"/>
        <v>0</v>
      </c>
      <c r="M49" s="7">
        <f t="shared" ca="1" si="7"/>
        <v>0</v>
      </c>
      <c r="N49" s="7">
        <f t="shared" ca="1" si="7"/>
        <v>0</v>
      </c>
      <c r="O49" s="7">
        <f t="shared" ca="1" si="7"/>
        <v>0</v>
      </c>
      <c r="P49" s="7">
        <f t="shared" ca="1" si="7"/>
        <v>0</v>
      </c>
      <c r="Q49" s="8">
        <f ca="1">IF(OR($B48="Усього",$B48=""),"",IF($S48=0,XIRR(D$36:D48,B$36:B48,0.2),"Х"))</f>
        <v>0.48579205870628361</v>
      </c>
      <c r="R49" s="9">
        <f ca="1">IF(OR($B48="Усього",$B48=""),"",IF($S48=0,SUM(E49:P49),"Х"))</f>
        <v>12724.50392992567</v>
      </c>
      <c r="S49" s="11" t="str">
        <f ca="1">IF(OR(B49="Усього",B49=""),"",IF($S48=0,"",IF(DATE(YEAR(B48),MONTH(B48)+1,DAY($O$18))&gt;$O$16,0,S48-E49)))</f>
        <v/>
      </c>
      <c r="T49" s="97"/>
      <c r="U49" s="26"/>
    </row>
    <row r="50" spans="1:26" s="97" customFormat="1" ht="6.75" customHeight="1" x14ac:dyDescent="0.25">
      <c r="F50" s="98"/>
      <c r="G50" s="98"/>
      <c r="H50" s="98"/>
      <c r="I50" s="99"/>
      <c r="R50" s="27"/>
      <c r="U50" s="26"/>
      <c r="Y50" s="27"/>
      <c r="Z50" s="27"/>
    </row>
    <row r="51" spans="1:26" x14ac:dyDescent="0.2">
      <c r="E51" s="88"/>
    </row>
    <row r="52" spans="1:26" s="97" customFormat="1" ht="45.75" customHeight="1" x14ac:dyDescent="0.25">
      <c r="A52" s="100" t="s">
        <v>49</v>
      </c>
      <c r="B52" s="100"/>
      <c r="C52" s="100"/>
      <c r="D52" s="100"/>
      <c r="E52" s="100"/>
      <c r="F52" s="100"/>
      <c r="G52" s="100"/>
      <c r="H52" s="100"/>
      <c r="I52" s="100"/>
      <c r="J52" s="100"/>
      <c r="K52" s="3">
        <f ca="1">K55-O12</f>
        <v>2724.5039299256696</v>
      </c>
      <c r="L52" s="4"/>
      <c r="M52" s="4"/>
      <c r="N52" s="4"/>
      <c r="R52" s="27"/>
      <c r="U52" s="26"/>
      <c r="Y52" s="27"/>
      <c r="Z52" s="27"/>
    </row>
    <row r="53" spans="1:26" s="97" customFormat="1" ht="14.25" customHeight="1" x14ac:dyDescent="0.25">
      <c r="A53" s="100" t="s">
        <v>50</v>
      </c>
      <c r="B53" s="100"/>
      <c r="C53" s="100"/>
      <c r="D53" s="100"/>
      <c r="E53" s="100"/>
      <c r="F53" s="100"/>
      <c r="G53" s="100"/>
      <c r="H53" s="100"/>
      <c r="I53" s="100"/>
      <c r="J53" s="100"/>
      <c r="K53" s="3">
        <f ca="1">IF(DAY($O$14)=1,SUM(G48:J48),SUM(G49:J49))</f>
        <v>299</v>
      </c>
      <c r="L53" s="4"/>
      <c r="M53" s="4"/>
      <c r="N53" s="4"/>
      <c r="R53" s="27"/>
      <c r="U53" s="26"/>
      <c r="Y53" s="27"/>
      <c r="Z53" s="27"/>
    </row>
    <row r="54" spans="1:26" s="97" customFormat="1" ht="11.25" customHeight="1" x14ac:dyDescent="0.25">
      <c r="A54" s="100" t="s">
        <v>51</v>
      </c>
      <c r="B54" s="100"/>
      <c r="C54" s="100"/>
      <c r="D54" s="100"/>
      <c r="E54" s="100"/>
      <c r="F54" s="100"/>
      <c r="G54" s="100"/>
      <c r="H54" s="100"/>
      <c r="I54" s="100"/>
      <c r="J54" s="100"/>
      <c r="K54" s="3">
        <f ca="1">IF(DAY($O$14)=1,SUM(K48:P48),SUM(K49:P49))</f>
        <v>0</v>
      </c>
      <c r="L54" s="4"/>
      <c r="M54" s="4"/>
      <c r="N54" s="4"/>
      <c r="R54" s="27"/>
      <c r="U54" s="26"/>
      <c r="Y54" s="27"/>
      <c r="Z54" s="27"/>
    </row>
    <row r="55" spans="1:26" s="97" customFormat="1" ht="34.5" customHeight="1" x14ac:dyDescent="0.25">
      <c r="A55" s="100" t="s">
        <v>52</v>
      </c>
      <c r="B55" s="100"/>
      <c r="C55" s="100"/>
      <c r="D55" s="100"/>
      <c r="E55" s="100"/>
      <c r="F55" s="100"/>
      <c r="G55" s="100"/>
      <c r="H55" s="100"/>
      <c r="I55" s="100"/>
      <c r="J55" s="100"/>
      <c r="K55" s="5">
        <f ca="1">IF(DAY($O$14)=1,R48,R49)</f>
        <v>12724.50392992567</v>
      </c>
      <c r="L55" s="4"/>
      <c r="M55" s="4"/>
      <c r="N55" s="4"/>
      <c r="R55" s="27"/>
      <c r="U55" s="26"/>
      <c r="Y55" s="27"/>
      <c r="Z55" s="27"/>
    </row>
    <row r="56" spans="1:26" s="97" customFormat="1" ht="15.75" customHeight="1" x14ac:dyDescent="0.25">
      <c r="A56" s="101" t="s">
        <v>53</v>
      </c>
      <c r="B56" s="101"/>
      <c r="C56" s="101"/>
      <c r="D56" s="101"/>
      <c r="E56" s="101"/>
      <c r="F56" s="101"/>
      <c r="G56" s="101"/>
      <c r="H56" s="101"/>
      <c r="I56" s="101"/>
      <c r="J56" s="101"/>
      <c r="K56" s="6">
        <f ca="1">IF(DAY($O$14)=1,Q48,Q49)</f>
        <v>0.48579205870628361</v>
      </c>
      <c r="L56" s="4"/>
      <c r="M56" s="4"/>
      <c r="N56" s="4"/>
      <c r="R56" s="27"/>
      <c r="U56" s="26"/>
      <c r="Y56" s="27"/>
      <c r="Z56" s="27"/>
    </row>
    <row r="57" spans="1:26" s="97" customFormat="1" ht="49.5" customHeight="1" x14ac:dyDescent="0.25">
      <c r="A57" s="100" t="s">
        <v>54</v>
      </c>
      <c r="B57" s="100"/>
      <c r="C57" s="100"/>
      <c r="D57" s="100"/>
      <c r="E57" s="100"/>
      <c r="F57" s="100"/>
      <c r="G57" s="100"/>
      <c r="H57" s="100"/>
      <c r="I57" s="100"/>
      <c r="J57" s="100"/>
      <c r="K57" s="100"/>
      <c r="L57" s="102"/>
      <c r="M57" s="102"/>
      <c r="N57" s="102"/>
      <c r="R57" s="27"/>
      <c r="U57" s="26"/>
      <c r="Y57" s="27"/>
      <c r="Z57" s="27"/>
    </row>
    <row r="58" spans="1:26" s="97" customFormat="1" ht="45" customHeight="1" x14ac:dyDescent="0.25">
      <c r="A58" s="100" t="s">
        <v>55</v>
      </c>
      <c r="B58" s="100"/>
      <c r="C58" s="100"/>
      <c r="D58" s="100"/>
      <c r="E58" s="100"/>
      <c r="F58" s="100"/>
      <c r="G58" s="100"/>
      <c r="H58" s="100"/>
      <c r="I58" s="100"/>
      <c r="J58" s="100"/>
      <c r="K58" s="100"/>
      <c r="L58" s="100"/>
      <c r="M58" s="100"/>
      <c r="N58" s="100"/>
      <c r="R58" s="27"/>
      <c r="U58" s="26"/>
      <c r="Y58" s="27"/>
      <c r="Z58" s="27"/>
    </row>
    <row r="59" spans="1:26" s="97" customFormat="1" ht="55.5" customHeight="1" x14ac:dyDescent="0.25">
      <c r="A59" s="100" t="s">
        <v>56</v>
      </c>
      <c r="B59" s="100"/>
      <c r="C59" s="100"/>
      <c r="D59" s="100"/>
      <c r="E59" s="100"/>
      <c r="F59" s="100"/>
      <c r="G59" s="100"/>
      <c r="H59" s="100"/>
      <c r="I59" s="100"/>
      <c r="J59" s="100"/>
      <c r="K59" s="100"/>
      <c r="L59" s="100"/>
      <c r="M59" s="100"/>
      <c r="N59" s="100"/>
      <c r="R59" s="27"/>
      <c r="U59" s="26"/>
      <c r="Y59" s="27"/>
      <c r="Z59" s="27"/>
    </row>
  </sheetData>
  <sheetProtection algorithmName="SHA-512" hashValue="3sF3FSGhJgaCORT2fxs0sN7/v3QneANwjsL/2d6d39jhVx+hzvvwecZpgrCrey/A9WUKRuiNFeOf17khNMm8WQ==" saltValue="c3fSe/vErsmRlfpZXynyeQ==" spinCount="100000" sheet="1" formatCells="0" formatColumns="0" formatRows="0" insertColumns="0" insertRows="0" insertHyperlinks="0" deleteColumns="0" deleteRows="0" sort="0" autoFilter="0" pivotTables="0"/>
  <protectedRanges>
    <protectedRange sqref="B10:H13 I10:N11 J12:J13" name="Диапазон12"/>
    <protectedRange sqref="E10:H15 I10:N11 I15:N15" name="Диапазон8"/>
    <protectedRange sqref="E12:H12" name="Диапазон6"/>
    <protectedRange sqref="F19:H20" name="Диапазон4"/>
    <protectedRange sqref="O12:O13 O15:O16" name="Диапазон2"/>
    <protectedRange sqref="O7 P8:Q8 O2:Q4" name="Диапазон1"/>
    <protectedRange sqref="O9 O2:O7 P2:IV9 B2:N9" name="Диапазон5"/>
    <protectedRange sqref="I28:N28 I10:N11 I15:N15 I17:N17 N27 I20:N24 O25:O26 I25:M27 F10:H28" name="Диапазон9"/>
    <protectedRange sqref="I2:N9" name="Диапазон11"/>
    <protectedRange sqref="B52:O54 B57:O58 B55:J56 L55:O56" name="Диапазон3_1"/>
    <protectedRange sqref="O14" name="Диапазон2_1"/>
    <protectedRange sqref="K55:K56" name="Диапазон3_1_1"/>
  </protectedRanges>
  <dataConsolidate/>
  <mergeCells count="53">
    <mergeCell ref="Q1:S1"/>
    <mergeCell ref="J18:L18"/>
    <mergeCell ref="J19:L19"/>
    <mergeCell ref="A29:R29"/>
    <mergeCell ref="D30:D33"/>
    <mergeCell ref="B1:P1"/>
    <mergeCell ref="C30:C33"/>
    <mergeCell ref="O7:P9"/>
    <mergeCell ref="E30:P30"/>
    <mergeCell ref="F3:M7"/>
    <mergeCell ref="B28:Q28"/>
    <mergeCell ref="B25:N25"/>
    <mergeCell ref="B26:N26"/>
    <mergeCell ref="B30:B33"/>
    <mergeCell ref="B18:E18"/>
    <mergeCell ref="E31:E33"/>
    <mergeCell ref="K34:K35"/>
    <mergeCell ref="J34:J35"/>
    <mergeCell ref="M34:M35"/>
    <mergeCell ref="G31:P31"/>
    <mergeCell ref="L34:L35"/>
    <mergeCell ref="K32:L32"/>
    <mergeCell ref="M32:P32"/>
    <mergeCell ref="R30:R33"/>
    <mergeCell ref="Q30:Q33"/>
    <mergeCell ref="N34:N35"/>
    <mergeCell ref="O34:O35"/>
    <mergeCell ref="P34:P35"/>
    <mergeCell ref="O5:R6"/>
    <mergeCell ref="J12:L12"/>
    <mergeCell ref="J13:L13"/>
    <mergeCell ref="J14:L14"/>
    <mergeCell ref="J16:L16"/>
    <mergeCell ref="A34:A35"/>
    <mergeCell ref="C34:C35"/>
    <mergeCell ref="G34:G35"/>
    <mergeCell ref="H34:H35"/>
    <mergeCell ref="A30:A33"/>
    <mergeCell ref="G32:J32"/>
    <mergeCell ref="B34:B35"/>
    <mergeCell ref="D34:D35"/>
    <mergeCell ref="I34:I35"/>
    <mergeCell ref="E34:E35"/>
    <mergeCell ref="F34:F35"/>
    <mergeCell ref="F31:F33"/>
    <mergeCell ref="A58:N58"/>
    <mergeCell ref="A59:N59"/>
    <mergeCell ref="A52:J52"/>
    <mergeCell ref="A53:J53"/>
    <mergeCell ref="A54:J54"/>
    <mergeCell ref="A55:J55"/>
    <mergeCell ref="A56:J56"/>
    <mergeCell ref="A57:N57"/>
  </mergeCells>
  <phoneticPr fontId="2" type="noConversion"/>
  <dataValidations count="4">
    <dataValidation showDropDown="1" showInputMessage="1" showErrorMessage="1" sqref="J2:N2"/>
    <dataValidation type="whole" operator="equal" allowBlank="1" showInputMessage="1" showErrorMessage="1" errorTitle="Увага!" error="За умовами продукту, підключення до M-banking є обов'язковим" sqref="F2:H2">
      <formula1>1</formula1>
    </dataValidation>
    <dataValidation type="list" allowBlank="1" showInputMessage="1" showErrorMessage="1" sqref="F19:H19">
      <formula1>$U$12:$U$13</formula1>
    </dataValidation>
    <dataValidation type="list" allowBlank="1" showInputMessage="1" showErrorMessage="1" sqref="O13">
      <formula1>$U$14:$U$15</formula1>
    </dataValidation>
  </dataValidations>
  <pageMargins left="0" right="0" top="0" bottom="0" header="0" footer="0"/>
  <pageSetup paperSize="9" scale="4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1" r:id="rId4" name="Drop Down 9">
              <controlPr defaultSize="0" autoLine="0" autoPict="0">
                <anchor moveWithCells="1">
                  <from>
                    <xdr:col>3</xdr:col>
                    <xdr:colOff>838200</xdr:colOff>
                    <xdr:row>13</xdr:row>
                    <xdr:rowOff>9525</xdr:rowOff>
                  </from>
                  <to>
                    <xdr:col>5</xdr:col>
                    <xdr:colOff>723900</xdr:colOff>
                    <xdr:row>15</xdr:row>
                    <xdr:rowOff>57150</xdr:rowOff>
                  </to>
                </anchor>
              </controlPr>
            </control>
          </mc:Choice>
        </mc:AlternateContent>
        <mc:AlternateContent xmlns:mc="http://schemas.openxmlformats.org/markup-compatibility/2006">
          <mc:Choice Requires="x14">
            <control shapeId="3082" r:id="rId5" name="Drop Down 10">
              <controlPr locked="0" defaultSize="0" autoLine="0" autoPict="0">
                <anchor moveWithCells="1">
                  <from>
                    <xdr:col>3</xdr:col>
                    <xdr:colOff>838200</xdr:colOff>
                    <xdr:row>11</xdr:row>
                    <xdr:rowOff>0</xdr:rowOff>
                  </from>
                  <to>
                    <xdr:col>6</xdr:col>
                    <xdr:colOff>628650</xdr:colOff>
                    <xdr:row>12</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Календар</vt:lpstr>
      <vt:lpstr>Календар!Область_печати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 Олександр Павлович</dc:creator>
  <cp:lastModifiedBy>Остапчук Тетяна Володимирівна</cp:lastModifiedBy>
  <cp:lastPrinted>2016-04-28T12:09:23Z</cp:lastPrinted>
  <dcterms:created xsi:type="dcterms:W3CDTF">2007-05-30T09:57:41Z</dcterms:created>
  <dcterms:modified xsi:type="dcterms:W3CDTF">2021-08-30T09:13:48Z</dcterms:modified>
</cp:coreProperties>
</file>